
<file path=[Content_Types].xml><?xml version="1.0" encoding="utf-8"?>
<Types xmlns="http://schemas.openxmlformats.org/package/2006/content-types"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/>
  <mc:AlternateContent xmlns:mc="http://schemas.openxmlformats.org/markup-compatibility/2006">
    <mc:Choice Requires="x15">
      <x15ac:absPath xmlns:x15ac="http://schemas.microsoft.com/office/spreadsheetml/2010/11/ac" url="/Users/teresarennhofer/Documents/02_CAREER/04-Writing/Standard/"/>
    </mc:Choice>
  </mc:AlternateContent>
  <xr:revisionPtr revIDLastSave="0" documentId="13_ncr:1_{4803600D-34A3-814B-BD41-4E0C09AC5E51}" xr6:coauthVersionLast="36" xr6:coauthVersionMax="36" xr10:uidLastSave="{00000000-0000-0000-0000-000000000000}"/>
  <bookViews>
    <workbookView xWindow="920" yWindow="480" windowWidth="25640" windowHeight="16260" activeTab="1" xr2:uid="{9DEB8D5F-D705-7B49-B58E-78680E804C33}"/>
  </bookViews>
  <sheets>
    <sheet name="TCO" sheetId="1" r:id="rId1"/>
    <sheet name="Lifecycle CO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H34" i="1" l="1"/>
  <c r="G34" i="1"/>
  <c r="L70" i="1"/>
  <c r="G68" i="1"/>
  <c r="L75" i="1" s="1"/>
  <c r="H67" i="1"/>
  <c r="I67" i="1"/>
  <c r="J67" i="1"/>
  <c r="K67" i="1"/>
  <c r="L67" i="1"/>
  <c r="M67" i="1"/>
  <c r="N67" i="1"/>
  <c r="P67" i="1"/>
  <c r="G67" i="1"/>
  <c r="F65" i="1"/>
  <c r="H51" i="1"/>
  <c r="I51" i="1"/>
  <c r="J51" i="1"/>
  <c r="K51" i="1"/>
  <c r="L51" i="1"/>
  <c r="M51" i="1"/>
  <c r="N51" i="1"/>
  <c r="P51" i="1"/>
  <c r="G51" i="1"/>
  <c r="G55" i="1" s="1"/>
  <c r="G52" i="1"/>
  <c r="J59" i="1" s="1"/>
  <c r="I47" i="1"/>
  <c r="I54" i="1" s="1"/>
  <c r="J47" i="1"/>
  <c r="J54" i="1" s="1"/>
  <c r="K47" i="1"/>
  <c r="K54" i="1" s="1"/>
  <c r="L47" i="1"/>
  <c r="L54" i="1" s="1"/>
  <c r="M47" i="1"/>
  <c r="M54" i="1" s="1"/>
  <c r="N47" i="1"/>
  <c r="N54" i="1" s="1"/>
  <c r="O47" i="1"/>
  <c r="O51" i="1" s="1"/>
  <c r="P47" i="1"/>
  <c r="P54" i="1" s="1"/>
  <c r="H47" i="1"/>
  <c r="H54" i="1" s="1"/>
  <c r="H61" i="1" s="1"/>
  <c r="H31" i="2"/>
  <c r="G32" i="2"/>
  <c r="H30" i="2"/>
  <c r="H29" i="2"/>
  <c r="G29" i="2"/>
  <c r="G33" i="2"/>
  <c r="H59" i="1" l="1"/>
  <c r="H69" i="1"/>
  <c r="I69" i="1"/>
  <c r="I76" i="1" s="1"/>
  <c r="M70" i="1"/>
  <c r="N69" i="1"/>
  <c r="I74" i="1"/>
  <c r="M69" i="1"/>
  <c r="H70" i="1"/>
  <c r="I70" i="1"/>
  <c r="I59" i="1"/>
  <c r="J53" i="1"/>
  <c r="J69" i="1"/>
  <c r="P70" i="1"/>
  <c r="O67" i="1"/>
  <c r="O74" i="1" s="1"/>
  <c r="O75" i="1"/>
  <c r="P69" i="1"/>
  <c r="L69" i="1"/>
  <c r="L71" i="1" s="1"/>
  <c r="H75" i="1"/>
  <c r="M75" i="1"/>
  <c r="I75" i="1"/>
  <c r="O70" i="1"/>
  <c r="K70" i="1"/>
  <c r="K75" i="1"/>
  <c r="N75" i="1"/>
  <c r="J75" i="1"/>
  <c r="M59" i="1"/>
  <c r="G75" i="1"/>
  <c r="O69" i="1"/>
  <c r="K69" i="1"/>
  <c r="P75" i="1"/>
  <c r="H76" i="1"/>
  <c r="N70" i="1"/>
  <c r="J70" i="1"/>
  <c r="L74" i="1"/>
  <c r="K74" i="1"/>
  <c r="G74" i="1"/>
  <c r="N74" i="1"/>
  <c r="J74" i="1"/>
  <c r="H74" i="1"/>
  <c r="M74" i="1"/>
  <c r="H77" i="1"/>
  <c r="I77" i="1"/>
  <c r="G71" i="1"/>
  <c r="H71" i="1"/>
  <c r="O54" i="1"/>
  <c r="K53" i="1"/>
  <c r="K55" i="1" s="1"/>
  <c r="O53" i="1"/>
  <c r="J55" i="1"/>
  <c r="N53" i="1"/>
  <c r="N55" i="1" s="1"/>
  <c r="I53" i="1"/>
  <c r="I55" i="1" s="1"/>
  <c r="M53" i="1"/>
  <c r="M55" i="1" s="1"/>
  <c r="O58" i="1"/>
  <c r="K58" i="1"/>
  <c r="P59" i="1"/>
  <c r="L59" i="1"/>
  <c r="G58" i="1"/>
  <c r="G62" i="1" s="1"/>
  <c r="N58" i="1"/>
  <c r="J58" i="1"/>
  <c r="H53" i="1"/>
  <c r="H55" i="1" s="1"/>
  <c r="L53" i="1"/>
  <c r="L55" i="1" s="1"/>
  <c r="P53" i="1"/>
  <c r="P55" i="1" s="1"/>
  <c r="O59" i="1"/>
  <c r="K59" i="1"/>
  <c r="H58" i="1"/>
  <c r="M58" i="1"/>
  <c r="I58" i="1"/>
  <c r="G59" i="1"/>
  <c r="N59" i="1"/>
  <c r="P58" i="1"/>
  <c r="L58" i="1"/>
  <c r="H50" i="2"/>
  <c r="H33" i="2" s="1"/>
  <c r="I50" i="2"/>
  <c r="I51" i="2" s="1"/>
  <c r="J50" i="2"/>
  <c r="J51" i="2" s="1"/>
  <c r="K50" i="2"/>
  <c r="K51" i="2" s="1"/>
  <c r="L50" i="2"/>
  <c r="M50" i="2"/>
  <c r="N50" i="2"/>
  <c r="N51" i="2" s="1"/>
  <c r="O50" i="2"/>
  <c r="O51" i="2" s="1"/>
  <c r="P50" i="2"/>
  <c r="P51" i="2" s="1"/>
  <c r="G49" i="2"/>
  <c r="M51" i="2"/>
  <c r="L51" i="2"/>
  <c r="H51" i="2"/>
  <c r="G48" i="2"/>
  <c r="N43" i="2"/>
  <c r="H42" i="2"/>
  <c r="H43" i="2" s="1"/>
  <c r="I42" i="2"/>
  <c r="I43" i="2" s="1"/>
  <c r="J42" i="2"/>
  <c r="J43" i="2" s="1"/>
  <c r="K42" i="2"/>
  <c r="K43" i="2" s="1"/>
  <c r="L42" i="2"/>
  <c r="L43" i="2" s="1"/>
  <c r="M42" i="2"/>
  <c r="M43" i="2" s="1"/>
  <c r="N42" i="2"/>
  <c r="O42" i="2"/>
  <c r="O43" i="2" s="1"/>
  <c r="P42" i="2"/>
  <c r="P43" i="2" s="1"/>
  <c r="G41" i="2"/>
  <c r="F46" i="2"/>
  <c r="F39" i="2"/>
  <c r="D14" i="2"/>
  <c r="D13" i="1"/>
  <c r="F49" i="1"/>
  <c r="H35" i="1" l="1"/>
  <c r="P74" i="1"/>
  <c r="G35" i="1"/>
  <c r="H36" i="1"/>
  <c r="G36" i="1"/>
  <c r="I71" i="1"/>
  <c r="J76" i="1"/>
  <c r="J78" i="1" s="1"/>
  <c r="L77" i="1"/>
  <c r="J77" i="1"/>
  <c r="M77" i="1"/>
  <c r="K77" i="1"/>
  <c r="K78" i="1" s="1"/>
  <c r="J71" i="1"/>
  <c r="N71" i="1"/>
  <c r="P77" i="1"/>
  <c r="P71" i="1"/>
  <c r="O71" i="1"/>
  <c r="L76" i="1"/>
  <c r="O55" i="1"/>
  <c r="N77" i="1"/>
  <c r="M71" i="1"/>
  <c r="K76" i="1"/>
  <c r="O77" i="1"/>
  <c r="H37" i="1" s="1"/>
  <c r="N76" i="1"/>
  <c r="N78" i="1" s="1"/>
  <c r="P76" i="1"/>
  <c r="M76" i="1"/>
  <c r="O76" i="1"/>
  <c r="H39" i="1" s="1"/>
  <c r="K71" i="1"/>
  <c r="G78" i="1"/>
  <c r="H78" i="1"/>
  <c r="M78" i="1"/>
  <c r="I78" i="1"/>
  <c r="L78" i="1"/>
  <c r="L60" i="1"/>
  <c r="P60" i="1"/>
  <c r="M60" i="1"/>
  <c r="I60" i="1"/>
  <c r="N60" i="1"/>
  <c r="H60" i="1"/>
  <c r="H62" i="1" s="1"/>
  <c r="K60" i="1"/>
  <c r="O60" i="1"/>
  <c r="G38" i="1" s="1"/>
  <c r="J60" i="1"/>
  <c r="M61" i="1"/>
  <c r="I61" i="1"/>
  <c r="K61" i="1"/>
  <c r="L61" i="1"/>
  <c r="J61" i="1"/>
  <c r="N61" i="1"/>
  <c r="O61" i="1"/>
  <c r="G37" i="1" s="1"/>
  <c r="P61" i="1"/>
  <c r="G51" i="2"/>
  <c r="N52" i="2" s="1"/>
  <c r="G43" i="2"/>
  <c r="L44" i="2" s="1"/>
  <c r="M44" i="2"/>
  <c r="K44" i="2"/>
  <c r="P44" i="2"/>
  <c r="G40" i="1" l="1"/>
  <c r="H40" i="1"/>
  <c r="P78" i="1"/>
  <c r="M62" i="1"/>
  <c r="L62" i="1"/>
  <c r="N62" i="1"/>
  <c r="K62" i="1"/>
  <c r="O78" i="1"/>
  <c r="P62" i="1"/>
  <c r="J62" i="1"/>
  <c r="O62" i="1"/>
  <c r="I62" i="1"/>
  <c r="G52" i="2"/>
  <c r="O52" i="2"/>
  <c r="G46" i="2" s="1"/>
  <c r="I46" i="2" s="1"/>
  <c r="J52" i="2"/>
  <c r="P52" i="2"/>
  <c r="I52" i="2"/>
  <c r="L52" i="2"/>
  <c r="K52" i="2"/>
  <c r="N44" i="2"/>
  <c r="I44" i="2"/>
  <c r="M52" i="2"/>
  <c r="H52" i="2"/>
  <c r="H35" i="2" s="1"/>
  <c r="G44" i="2"/>
  <c r="O44" i="2"/>
  <c r="G39" i="2" s="1"/>
  <c r="I39" i="2" s="1"/>
  <c r="J44" i="2"/>
  <c r="H44" i="2"/>
</calcChain>
</file>

<file path=xl/sharedStrings.xml><?xml version="1.0" encoding="utf-8"?>
<sst xmlns="http://schemas.openxmlformats.org/spreadsheetml/2006/main" count="113" uniqueCount="66">
  <si>
    <t>Total Cost of Ownership</t>
  </si>
  <si>
    <t>Case Study for Austria</t>
  </si>
  <si>
    <t>gasoline price per liter</t>
  </si>
  <si>
    <t>reference vehicle</t>
  </si>
  <si>
    <t>purchasing price</t>
  </si>
  <si>
    <t>time discount rate</t>
  </si>
  <si>
    <t>fuel consumption</t>
  </si>
  <si>
    <t>electricity consumption</t>
  </si>
  <si>
    <t>battery lifetime</t>
  </si>
  <si>
    <t>annual driving distance</t>
  </si>
  <si>
    <t>years of ownership</t>
  </si>
  <si>
    <t>electricity price per kWh</t>
  </si>
  <si>
    <t>Year</t>
  </si>
  <si>
    <t>Purchasing Price</t>
  </si>
  <si>
    <t>Discount factor</t>
  </si>
  <si>
    <t>Calculations</t>
  </si>
  <si>
    <t>Renault Zoe</t>
  </si>
  <si>
    <t>MRT expenditures</t>
  </si>
  <si>
    <t>annual maintenance, repair &amp; tires (MRT)</t>
  </si>
  <si>
    <t>lifetime driving distance</t>
  </si>
  <si>
    <t>Created by Teresa Rennhofer</t>
  </si>
  <si>
    <t>More info at www.evtalk.co</t>
  </si>
  <si>
    <t>Assumptions on Energy Prices</t>
  </si>
  <si>
    <t>Assumptions on Consumption</t>
  </si>
  <si>
    <t>Assumptions on ICEV</t>
  </si>
  <si>
    <t>Assumptions on BEV</t>
  </si>
  <si>
    <t>Assumptions on Modelling</t>
  </si>
  <si>
    <t>Renault Clio</t>
  </si>
  <si>
    <t>Total Lifecycle Carbon Emissions</t>
  </si>
  <si>
    <t>Assumptions on Emissions</t>
  </si>
  <si>
    <t>CO2eq per burning 1 liter gasoline</t>
  </si>
  <si>
    <r>
      <t xml:space="preserve">CO2eq per kWh </t>
    </r>
    <r>
      <rPr>
        <b/>
        <sz val="12"/>
        <color theme="1"/>
        <rFont val="Calibri Light"/>
        <family val="2"/>
        <scheme val="major"/>
      </rPr>
      <t>battery production</t>
    </r>
  </si>
  <si>
    <r>
      <t xml:space="preserve">CO2eq per kWh </t>
    </r>
    <r>
      <rPr>
        <b/>
        <sz val="12"/>
        <color theme="1"/>
        <rFont val="Calibri Light"/>
        <family val="2"/>
        <scheme val="major"/>
      </rPr>
      <t xml:space="preserve">charging </t>
    </r>
  </si>
  <si>
    <t>CO2eq during production (excl. battery)</t>
  </si>
  <si>
    <t>CO2eq during production</t>
  </si>
  <si>
    <t>Total</t>
  </si>
  <si>
    <t>Battery production</t>
  </si>
  <si>
    <t>Vehicle production</t>
  </si>
  <si>
    <t>Operating emissions</t>
  </si>
  <si>
    <t>in tons:</t>
  </si>
  <si>
    <t>battery capacity</t>
  </si>
  <si>
    <t>Results</t>
  </si>
  <si>
    <t>BEV breaks even in year</t>
  </si>
  <si>
    <t>vehicle production</t>
  </si>
  <si>
    <t>battery production</t>
  </si>
  <si>
    <t>fuel expenditures</t>
  </si>
  <si>
    <t>charging emissions</t>
  </si>
  <si>
    <t>tailpipe emissions</t>
  </si>
  <si>
    <t>charging expenditures</t>
  </si>
  <si>
    <t>resale value</t>
  </si>
  <si>
    <t>Resale Value</t>
  </si>
  <si>
    <t>MRT expenditures p.a.</t>
  </si>
  <si>
    <t>Fuel expenditures p.a.</t>
  </si>
  <si>
    <t>Accumulated over years (discounted)</t>
  </si>
  <si>
    <t>Accumulated fuel expenditures</t>
  </si>
  <si>
    <t>Accumulated MRT expenditures</t>
  </si>
  <si>
    <t>Each year SEPERATED (diccounted)</t>
  </si>
  <si>
    <t>annual depreciation</t>
  </si>
  <si>
    <t>Accumulated Total Expenditures</t>
  </si>
  <si>
    <t>Per year Total Expenditures</t>
  </si>
  <si>
    <t>Accumulated charging expenditures</t>
  </si>
  <si>
    <t>Purchasing price</t>
  </si>
  <si>
    <t>Resale value</t>
  </si>
  <si>
    <t>purchasing price
minus 
resale value</t>
  </si>
  <si>
    <t>Per year total emissions</t>
  </si>
  <si>
    <t>Accumulated total emissions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</si>
</sst>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0\ [$€-C07]"/>
    <numFmt numFmtId="165" formatCode="0.0\ &quot;L/100km&quot;"/>
    <numFmt numFmtId="166" formatCode="0\ &quot;kWh/100km&quot;"/>
    <numFmt numFmtId="167" formatCode="#,##0\ &quot;km&quot;"/>
    <numFmt numFmtId="168" formatCode="0.00\ &quot;kg&quot;"/>
    <numFmt numFmtId="169" formatCode="0\ &quot;kg&quot;"/>
    <numFmt numFmtId="170" formatCode="0.000\ &quot;kg&quot;"/>
    <numFmt numFmtId="171" formatCode="#,##0.00\ &quot;tons&quot;"/>
    <numFmt numFmtId="172" formatCode="0\ &quot;kWh&quot;"/>
    <numFmt numFmtId="173" formatCode="0.00\ &quot;tons&quot;"/>
    <numFmt numFmtId="174" formatCode="0\ &quot;%&quot;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 Light"/>
      <family val="2"/>
      <scheme val="major"/>
    </font>
    <font>
      <sz val="14"/>
      <color theme="1"/>
      <name val="Arial"/>
      <family val="2"/>
    </font>
    <font>
      <b/>
      <sz val="18"/>
      <color theme="6" tint="-0.499984740745262"/>
      <name val="Arial"/>
      <family val="2"/>
    </font>
    <font>
      <sz val="12"/>
      <color theme="0" tint="-0.34998626667073579"/>
      <name val="Arial"/>
      <family val="2"/>
    </font>
    <font>
      <u/>
      <sz val="12"/>
      <color theme="10"/>
      <name val="Calibri"/>
      <family val="2"/>
      <scheme val="minor"/>
    </font>
    <font>
      <sz val="12"/>
      <color theme="5" tint="-0.499984740745262"/>
      <name val="Arial"/>
      <family val="2"/>
    </font>
    <font>
      <b/>
      <sz val="26"/>
      <color theme="6" tint="-0.499984740745262"/>
      <name val="Arial"/>
      <family val="2"/>
    </font>
    <font>
      <b/>
      <sz val="22"/>
      <color theme="5" tint="-0.499984740745262"/>
      <name val="Arial"/>
      <family val="2"/>
    </font>
    <font>
      <b/>
      <sz val="14"/>
      <color theme="5" tint="-0.499984740745262"/>
      <name val="Arial"/>
      <family val="2"/>
    </font>
    <font>
      <sz val="12"/>
      <color theme="0" tint="-0.249977111117893"/>
      <name val="Arial"/>
      <family val="2"/>
    </font>
    <font>
      <b/>
      <sz val="14"/>
      <color theme="1"/>
      <name val="Arial"/>
      <family val="2"/>
    </font>
    <font>
      <b/>
      <sz val="14"/>
      <color theme="0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2" fillId="2" borderId="0" xfId="0" applyFont="1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3" borderId="0" xfId="0" applyFont="1" applyFill="1" applyBorder="1"/>
    <xf numFmtId="164" fontId="2" fillId="3" borderId="0" xfId="0" applyNumberFormat="1" applyFont="1" applyFill="1" applyBorder="1"/>
    <xf numFmtId="166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3" fillId="2" borderId="0" xfId="0" applyFont="1" applyFill="1" applyBorder="1"/>
    <xf numFmtId="164" fontId="2" fillId="2" borderId="0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9" fontId="2" fillId="3" borderId="0" xfId="1" applyFont="1" applyFill="1" applyBorder="1"/>
    <xf numFmtId="167" fontId="2" fillId="3" borderId="0" xfId="0" applyNumberFormat="1" applyFont="1" applyFill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/>
    <xf numFmtId="0" fontId="3" fillId="2" borderId="6" xfId="0" applyFont="1" applyFill="1" applyBorder="1"/>
    <xf numFmtId="164" fontId="3" fillId="2" borderId="7" xfId="0" applyNumberFormat="1" applyFont="1" applyFill="1" applyBorder="1"/>
    <xf numFmtId="0" fontId="2" fillId="2" borderId="1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2" xfId="0" applyFont="1" applyFill="1" applyBorder="1"/>
    <xf numFmtId="0" fontId="2" fillId="2" borderId="10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64" fontId="8" fillId="2" borderId="0" xfId="0" applyNumberFormat="1" applyFont="1" applyFill="1" applyBorder="1"/>
    <xf numFmtId="2" fontId="8" fillId="2" borderId="0" xfId="0" applyNumberFormat="1" applyFont="1" applyFill="1" applyBorder="1"/>
    <xf numFmtId="0" fontId="10" fillId="2" borderId="0" xfId="0" applyFont="1" applyFill="1" applyBorder="1"/>
    <xf numFmtId="0" fontId="10" fillId="2" borderId="0" xfId="2" applyFont="1" applyFill="1" applyBorder="1"/>
    <xf numFmtId="0" fontId="11" fillId="2" borderId="0" xfId="0" applyFont="1" applyFill="1" applyBorder="1"/>
    <xf numFmtId="0" fontId="12" fillId="2" borderId="0" xfId="0" applyFont="1" applyFill="1" applyBorder="1"/>
    <xf numFmtId="165" fontId="2" fillId="3" borderId="0" xfId="0" applyNumberFormat="1" applyFont="1" applyFill="1" applyBorder="1" applyAlignment="1">
      <alignment horizontal="right"/>
    </xf>
    <xf numFmtId="168" fontId="2" fillId="3" borderId="0" xfId="0" applyNumberFormat="1" applyFont="1" applyFill="1" applyBorder="1" applyAlignment="1">
      <alignment horizontal="right"/>
    </xf>
    <xf numFmtId="169" fontId="2" fillId="3" borderId="0" xfId="0" applyNumberFormat="1" applyFont="1" applyFill="1" applyBorder="1" applyAlignment="1">
      <alignment horizontal="right"/>
    </xf>
    <xf numFmtId="170" fontId="2" fillId="3" borderId="0" xfId="0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171" fontId="2" fillId="2" borderId="0" xfId="0" applyNumberFormat="1" applyFont="1" applyFill="1" applyBorder="1"/>
    <xf numFmtId="168" fontId="14" fillId="2" borderId="0" xfId="0" applyNumberFormat="1" applyFont="1" applyFill="1" applyBorder="1" applyAlignment="1">
      <alignment horizontal="right"/>
    </xf>
    <xf numFmtId="172" fontId="2" fillId="3" borderId="0" xfId="0" applyNumberFormat="1" applyFont="1" applyFill="1" applyBorder="1"/>
    <xf numFmtId="0" fontId="14" fillId="2" borderId="0" xfId="0" applyFont="1" applyFill="1" applyBorder="1"/>
    <xf numFmtId="171" fontId="14" fillId="2" borderId="0" xfId="0" applyNumberFormat="1" applyFont="1" applyFill="1" applyBorder="1"/>
    <xf numFmtId="171" fontId="14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right"/>
    </xf>
    <xf numFmtId="168" fontId="2" fillId="2" borderId="0" xfId="0" applyNumberFormat="1" applyFont="1" applyFill="1" applyBorder="1"/>
    <xf numFmtId="0" fontId="2" fillId="2" borderId="11" xfId="0" applyFont="1" applyFill="1" applyBorder="1"/>
    <xf numFmtId="0" fontId="3" fillId="2" borderId="0" xfId="0" applyFont="1" applyFill="1" applyBorder="1" applyAlignment="1">
      <alignment horizontal="right"/>
    </xf>
    <xf numFmtId="0" fontId="2" fillId="4" borderId="0" xfId="0" applyFont="1" applyFill="1" applyBorder="1"/>
    <xf numFmtId="0" fontId="13" fillId="4" borderId="0" xfId="0" applyFont="1" applyFill="1" applyBorder="1" applyAlignment="1">
      <alignment horizontal="left"/>
    </xf>
    <xf numFmtId="173" fontId="2" fillId="2" borderId="0" xfId="0" applyNumberFormat="1" applyFont="1" applyFill="1" applyBorder="1"/>
    <xf numFmtId="173" fontId="2" fillId="2" borderId="11" xfId="0" applyNumberFormat="1" applyFont="1" applyFill="1" applyBorder="1"/>
    <xf numFmtId="0" fontId="2" fillId="2" borderId="4" xfId="0" applyFont="1" applyFill="1" applyBorder="1" applyAlignment="1">
      <alignment horizontal="right"/>
    </xf>
    <xf numFmtId="164" fontId="2" fillId="2" borderId="11" xfId="0" applyNumberFormat="1" applyFont="1" applyFill="1" applyBorder="1"/>
    <xf numFmtId="0" fontId="15" fillId="2" borderId="0" xfId="0" applyFont="1" applyFill="1" applyBorder="1"/>
    <xf numFmtId="0" fontId="10" fillId="2" borderId="4" xfId="2" applyFont="1" applyFill="1" applyBorder="1"/>
    <xf numFmtId="164" fontId="2" fillId="2" borderId="4" xfId="0" applyNumberFormat="1" applyFont="1" applyFill="1" applyBorder="1"/>
    <xf numFmtId="0" fontId="2" fillId="2" borderId="0" xfId="0" applyFont="1" applyFill="1" applyBorder="1" applyAlignment="1">
      <alignment wrapText="1"/>
    </xf>
    <xf numFmtId="174" fontId="2" fillId="2" borderId="0" xfId="1" applyNumberFormat="1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12" xfId="0" applyFont="1" applyFill="1" applyBorder="1"/>
    <xf numFmtId="171" fontId="16" fillId="2" borderId="0" xfId="0" applyNumberFormat="1" applyFont="1" applyFill="1" applyBorder="1"/>
    <xf numFmtId="0" fontId="14" fillId="2" borderId="13" xfId="0" applyFont="1" applyFill="1" applyBorder="1"/>
    <xf numFmtId="168" fontId="14" fillId="2" borderId="13" xfId="0" applyNumberFormat="1" applyFont="1" applyFill="1" applyBorder="1" applyAlignment="1">
      <alignment horizontal="righ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E9B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/>
              <a:t>Total</a:t>
            </a:r>
            <a:r>
              <a:rPr lang="en-US" sz="1800" baseline="0"/>
              <a:t> Cost or Ownership</a:t>
            </a:r>
          </a:p>
        </c:rich>
      </c:tx>
      <c:layout>
        <c:manualLayout>
          <c:xMode val="edge"/>
          <c:yMode val="edge"/>
          <c:x val="0.26994261601512037"/>
          <c:y val="6.27788357930247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86293652597021"/>
          <c:y val="8.1882902807438707E-2"/>
          <c:w val="0.86377216419723102"/>
          <c:h val="0.77923457568897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TCO!$F$36</c:f>
              <c:strCache>
                <c:ptCount val="1"/>
                <c:pt idx="0">
                  <c:v>purchasing price
minus 
resale value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dLbls>
            <c:numFmt formatCode="#\ ###\ &quot;€&quot;" sourceLinked="0"/>
            <c:spPr>
              <a:noFill/>
              <a:ln cap="rnd">
                <a:noFill/>
              </a:ln>
              <a:effectLst/>
            </c:spPr>
            <c:txPr>
              <a:bodyPr rot="0" spcFirstLastPara="1" vertOverflow="clip" horzOverflow="clip" vert="horz" wrap="none" lIns="91440" tIns="91440" rIns="91440" bIns="9144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TCO!$G$33:$H$33</c:f>
              <c:strCache>
                <c:ptCount val="2"/>
                <c:pt idx="0">
                  <c:v>Renault Clio</c:v>
                </c:pt>
                <c:pt idx="1">
                  <c:v>Renault Zoe</c:v>
                </c:pt>
              </c:strCache>
            </c:strRef>
          </c:cat>
          <c:val>
            <c:numRef>
              <c:f>TCO!$G$36:$H$36</c:f>
              <c:numCache>
                <c:formatCode>#.##000\ [$€-C07]</c:formatCode>
                <c:ptCount val="2"/>
                <c:pt idx="0">
                  <c:v>14693.835692003902</c:v>
                </c:pt>
                <c:pt idx="1">
                  <c:v>20785.934453486618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1-9140-9635-086D51A19B7F}"/>
            </c:ext>
          </c:extLst>
        </c:ser>
        <c:ser>
          <c:idx val="2"/>
          <c:order val="1"/>
          <c:tx>
            <c:strRef>
              <c:f>TCO!$F$37</c:f>
              <c:strCache>
                <c:ptCount val="1"/>
                <c:pt idx="0">
                  <c:v>MRT expenditures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#\ ###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TCO!$G$33:$H$33</c:f>
              <c:strCache>
                <c:ptCount val="2"/>
                <c:pt idx="0">
                  <c:v>Renault Clio</c:v>
                </c:pt>
                <c:pt idx="1">
                  <c:v>Renault Zoe</c:v>
                </c:pt>
              </c:strCache>
            </c:strRef>
          </c:cat>
          <c:val>
            <c:numRef>
              <c:f>TCO!$G$37:$H$37</c:f>
              <c:numCache>
                <c:formatCode>#.##000\ [$€-C07]</c:formatCode>
                <c:ptCount val="2"/>
                <c:pt idx="0">
                  <c:v>6732.7448749503974</c:v>
                </c:pt>
                <c:pt idx="1">
                  <c:v>6732.7448749503974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41-9140-9635-086D51A19B7F}"/>
            </c:ext>
          </c:extLst>
        </c:ser>
        <c:ser>
          <c:idx val="0"/>
          <c:order val="2"/>
          <c:tx>
            <c:strRef>
              <c:f>TCO!$F$38</c:f>
              <c:strCache>
                <c:ptCount val="1"/>
                <c:pt idx="0">
                  <c:v>fuel expenditures</c:v>
                </c:pt>
              </c:strCache>
            </c:strRef>
          </c:tx>
          <c:spPr>
            <a:solidFill>
              <a:srgbClr val="CE9B01"/>
            </a:solidFill>
            <a:ln>
              <a:noFill/>
            </a:ln>
            <a:effectLst/>
          </c:spPr>
          <c:invertIfNegative val="0"/>
          <c:dLbls>
            <c:numFmt formatCode="#\ ###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TCO!$G$33:$H$33</c:f>
              <c:strCache>
                <c:ptCount val="2"/>
                <c:pt idx="0">
                  <c:v>Renault Clio</c:v>
                </c:pt>
                <c:pt idx="1">
                  <c:v>Renault Zoe</c:v>
                </c:pt>
              </c:strCache>
            </c:strRef>
          </c:cat>
          <c:val>
            <c:numRef>
              <c:f>TCO!$G$38:$H$38</c:f>
              <c:numCache>
                <c:formatCode>#.##000\ [$€-C07]</c:formatCode>
                <c:ptCount val="2"/>
                <c:pt idx="0">
                  <c:v>7597.2427823837797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41-9140-9635-086D51A19B7F}"/>
            </c:ext>
          </c:extLst>
        </c:ser>
        <c:ser>
          <c:idx val="3"/>
          <c:order val="3"/>
          <c:tx>
            <c:strRef>
              <c:f>TCO!$F$39</c:f>
              <c:strCache>
                <c:ptCount val="1"/>
                <c:pt idx="0">
                  <c:v>charging expenditures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#\ ###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TCO!$G$33:$H$33</c:f>
              <c:strCache>
                <c:ptCount val="2"/>
                <c:pt idx="0">
                  <c:v>Renault Clio</c:v>
                </c:pt>
                <c:pt idx="1">
                  <c:v>Renault Zoe</c:v>
                </c:pt>
              </c:strCache>
            </c:strRef>
          </c:cat>
          <c:val>
            <c:numRef>
              <c:f>TCO!$G$39:$H$39</c:f>
              <c:numCache>
                <c:formatCode>#.##000\ [$€-C07]</c:formatCode>
                <c:ptCount val="2"/>
                <c:pt idx="1">
                  <c:v>2653.1391091473283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41-9140-9635-086D51A19B7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6"/>
        <c:overlap val="100"/>
        <c:axId val="1808485471"/>
        <c:axId val="1811235007"/>
      </c:barChart>
      <c:catAx>
        <c:axId val="180848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1235007"/>
        <c:crosses val="autoZero"/>
        <c:auto val="1"/>
        <c:lblAlgn val="ctr"/>
        <c:lblOffset val="100"/>
        <c:noMultiLvlLbl val="0"/>
      </c:catAx>
      <c:valAx>
        <c:axId val="1811235007"/>
        <c:scaling>
          <c:orientation val="minMax"/>
          <c:max val="3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#\ &quot;€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8485471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/>
              <a:t>Lifetime Carbondioxide</a:t>
            </a:r>
            <a:r>
              <a:rPr lang="en-US" sz="1800" baseline="0"/>
              <a:t> Emissions</a:t>
            </a:r>
          </a:p>
        </c:rich>
      </c:tx>
      <c:layout>
        <c:manualLayout>
          <c:xMode val="edge"/>
          <c:yMode val="edge"/>
          <c:x val="0.14101262107884774"/>
          <c:y val="4.216683582512632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86293652597021"/>
          <c:y val="8.1882902807438707E-2"/>
          <c:w val="0.86377216419723102"/>
          <c:h val="0.77923457568897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'Lifecycle CO2'!$F$29</c:f>
              <c:strCache>
                <c:ptCount val="1"/>
                <c:pt idx="0">
                  <c:v>vehicle production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0.0\ &quot;tons&quot;" sourceLinked="0"/>
            <c:spPr>
              <a:noFill/>
              <a:ln cap="rnd">
                <a:noFill/>
              </a:ln>
              <a:effectLst/>
            </c:spPr>
            <c:txPr>
              <a:bodyPr rot="0" spcFirstLastPara="1" vertOverflow="ellipsis" vert="horz" wrap="none" lIns="91440" tIns="91440" rIns="91440" bIns="9144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'Lifecycle CO2'!$G$28:$H$28</c:f>
              <c:strCache>
                <c:ptCount val="2"/>
                <c:pt idx="0">
                  <c:v>Renault Clio</c:v>
                </c:pt>
                <c:pt idx="1">
                  <c:v>Renault Zoe</c:v>
                </c:pt>
              </c:strCache>
            </c:strRef>
          </c:cat>
          <c:val>
            <c:numRef>
              <c:f>'Lifecycle CO2'!$G$29:$H$29</c:f>
              <c:numCache>
                <c:formatCode>#,000\ "tons"</c:formatCode>
                <c:ptCount val="2"/>
                <c:pt idx="0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D-C645-924E-F3A7037F7512}"/>
            </c:ext>
          </c:extLst>
        </c:ser>
        <c:ser>
          <c:idx val="2"/>
          <c:order val="1"/>
          <c:tx>
            <c:strRef>
              <c:f>'Lifecycle CO2'!$F$30</c:f>
              <c:strCache>
                <c:ptCount val="1"/>
                <c:pt idx="0">
                  <c:v>battery production</c:v>
                </c:pt>
              </c:strCache>
            </c:strRef>
          </c:tx>
          <c:spPr>
            <a:solidFill>
              <a:srgbClr val="CE9B01"/>
            </a:solidFill>
            <a:ln>
              <a:noFill/>
            </a:ln>
            <a:effectLst/>
          </c:spPr>
          <c:invertIfNegative val="0"/>
          <c:dLbls>
            <c:numFmt formatCode="0.0\ &quot;tons&quot;" sourceLinked="0"/>
            <c:spPr>
              <a:noFill/>
              <a:ln cap="rnd">
                <a:noFill/>
              </a:ln>
              <a:effectLst/>
            </c:spPr>
            <c:txPr>
              <a:bodyPr rot="0" spcFirstLastPara="1" vertOverflow="ellipsis" vert="horz" wrap="none" lIns="91440" tIns="91440" rIns="91440" bIns="9144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'Lifecycle CO2'!$G$28:$H$28</c:f>
              <c:strCache>
                <c:ptCount val="2"/>
                <c:pt idx="0">
                  <c:v>Renault Clio</c:v>
                </c:pt>
                <c:pt idx="1">
                  <c:v>Renault Zoe</c:v>
                </c:pt>
              </c:strCache>
            </c:strRef>
          </c:cat>
          <c:val>
            <c:numRef>
              <c:f>'Lifecycle CO2'!$G$30:$H$30</c:f>
              <c:numCache>
                <c:formatCode>#,000\ "tons"</c:formatCode>
                <c:ptCount val="2"/>
                <c:pt idx="1">
                  <c:v>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D-C645-924E-F3A7037F7512}"/>
            </c:ext>
          </c:extLst>
        </c:ser>
        <c:ser>
          <c:idx val="0"/>
          <c:order val="2"/>
          <c:tx>
            <c:strRef>
              <c:f>'Lifecycle CO2'!$F$31</c:f>
              <c:strCache>
                <c:ptCount val="1"/>
                <c:pt idx="0">
                  <c:v>charging emissions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0.0\ &quot;tons&quot;" sourceLinked="0"/>
            <c:spPr>
              <a:noFill/>
              <a:ln cap="rnd">
                <a:noFill/>
              </a:ln>
              <a:effectLst/>
            </c:spPr>
            <c:txPr>
              <a:bodyPr rot="0" spcFirstLastPara="1" vertOverflow="ellipsis" vert="horz" wrap="none" lIns="91440" tIns="91440" rIns="91440" bIns="9144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'Lifecycle CO2'!$G$28:$H$28</c:f>
              <c:strCache>
                <c:ptCount val="2"/>
                <c:pt idx="0">
                  <c:v>Renault Clio</c:v>
                </c:pt>
                <c:pt idx="1">
                  <c:v>Renault Zoe</c:v>
                </c:pt>
              </c:strCache>
            </c:strRef>
          </c:cat>
          <c:val>
            <c:numRef>
              <c:f>'Lifecycle CO2'!$G$31:$H$31</c:f>
              <c:numCache>
                <c:formatCode>#,000\ "tons"</c:formatCode>
                <c:ptCount val="2"/>
                <c:pt idx="1">
                  <c:v>5.2542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38-7D45-A36F-CEBEFAAECB85}"/>
            </c:ext>
          </c:extLst>
        </c:ser>
        <c:ser>
          <c:idx val="3"/>
          <c:order val="3"/>
          <c:tx>
            <c:strRef>
              <c:f>'Lifecycle CO2'!$F$32</c:f>
              <c:strCache>
                <c:ptCount val="1"/>
                <c:pt idx="0">
                  <c:v>tailpipe emissions</c:v>
                </c:pt>
              </c:strCache>
            </c:strRef>
          </c:tx>
          <c:spPr>
            <a:solidFill>
              <a:schemeClr val="bg2">
                <a:lumMod val="50000"/>
                <a:alpha val="99000"/>
              </a:schemeClr>
            </a:solidFill>
            <a:ln>
              <a:noFill/>
            </a:ln>
            <a:effectLst/>
          </c:spPr>
          <c:invertIfNegative val="0"/>
          <c:dLbls>
            <c:numFmt formatCode="0.0\ &quot;tons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'Lifecycle CO2'!$G$28:$H$28</c:f>
              <c:strCache>
                <c:ptCount val="2"/>
                <c:pt idx="0">
                  <c:v>Renault Clio</c:v>
                </c:pt>
                <c:pt idx="1">
                  <c:v>Renault Zoe</c:v>
                </c:pt>
              </c:strCache>
            </c:strRef>
          </c:cat>
          <c:val>
            <c:numRef>
              <c:f>'Lifecycle CO2'!$G$32:$H$32</c:f>
              <c:numCache>
                <c:formatCode>#,000\ "tons"</c:formatCode>
                <c:ptCount val="2"/>
                <c:pt idx="0">
                  <c:v>17.247119999999999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138-7D45-A36F-CEBEFAAECB8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6"/>
        <c:overlap val="100"/>
        <c:axId val="1808485471"/>
        <c:axId val="1811235007"/>
      </c:barChart>
      <c:catAx>
        <c:axId val="1808485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11235007"/>
        <c:crosses val="autoZero"/>
        <c:auto val="1"/>
        <c:lblAlgn val="ctr"/>
        <c:lblOffset val="100"/>
        <c:noMultiLvlLbl val="0"/>
      </c:catAx>
      <c:valAx>
        <c:axId val="1811235007"/>
        <c:scaling>
          <c:orientation val="minMax"/>
          <c:max val="2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\ &quot;tons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b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8485471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svg"/><Relationship Id="rId5" Type="http://schemas.openxmlformats.org/officeDocument/2006/relationships/image" Target="../media/image4.pn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svg"/><Relationship Id="rId3" Type="http://schemas.openxmlformats.org/officeDocument/2006/relationships/image" Target="../media/image2.png"/><Relationship Id="rId7" Type="http://schemas.openxmlformats.org/officeDocument/2006/relationships/image" Target="../media/image8.png"/><Relationship Id="rId12" Type="http://schemas.openxmlformats.org/officeDocument/2006/relationships/image" Target="../media/image13.svg"/><Relationship Id="rId2" Type="http://schemas.openxmlformats.org/officeDocument/2006/relationships/chart" Target="../charts/chart2.xml"/><Relationship Id="rId1" Type="http://schemas.openxmlformats.org/officeDocument/2006/relationships/image" Target="../media/image1.png"/><Relationship Id="rId6" Type="http://schemas.openxmlformats.org/officeDocument/2006/relationships/image" Target="../media/image5.svg"/><Relationship Id="rId11" Type="http://schemas.openxmlformats.org/officeDocument/2006/relationships/image" Target="../media/image12.png"/><Relationship Id="rId5" Type="http://schemas.openxmlformats.org/officeDocument/2006/relationships/image" Target="../media/image4.png"/><Relationship Id="rId10" Type="http://schemas.openxmlformats.org/officeDocument/2006/relationships/image" Target="../media/image11.svg"/><Relationship Id="rId4" Type="http://schemas.openxmlformats.org/officeDocument/2006/relationships/image" Target="../media/image3.sv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14111</xdr:colOff>
      <xdr:row>2</xdr:row>
      <xdr:rowOff>395111</xdr:rowOff>
    </xdr:from>
    <xdr:to>
      <xdr:col>8</xdr:col>
      <xdr:colOff>286351</xdr:colOff>
      <xdr:row>29</xdr:row>
      <xdr:rowOff>202300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E9615F-84A0-7D45-819E-D73DD54A37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497802</xdr:colOff>
      <xdr:row>31</xdr:row>
      <xdr:rowOff>291233</xdr:rowOff>
    </xdr:from>
    <xdr:to>
      <xdr:col>2</xdr:col>
      <xdr:colOff>1543655</xdr:colOff>
      <xdr:row>35</xdr:row>
      <xdr:rowOff>456997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374BEFA-B374-7548-A3DF-95481C5C2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9702" y="6298333"/>
          <a:ext cx="1045853" cy="1066053"/>
        </a:xfrm>
        <a:prstGeom prst="rect">
          <a:avLst/>
        </a:prstGeom>
      </xdr:spPr>
    </xdr:pic>
    <xdr:clientData/>
  </xdr:twoCellAnchor>
  <xdr:twoCellAnchor>
    <xdr:from>
      <xdr:col>5</xdr:col>
      <xdr:colOff>811860</xdr:colOff>
      <xdr:row>27</xdr:row>
      <xdr:rowOff>128532</xdr:rowOff>
    </xdr:from>
    <xdr:to>
      <xdr:col>6</xdr:col>
      <xdr:colOff>95836</xdr:colOff>
      <xdr:row>29</xdr:row>
      <xdr:rowOff>21323</xdr:rowOff>
    </xdr:to>
    <xdr:sp macro="" textlink="$G$40">
      <xdr:nvSpPr>
        <xdr:cNvPr id="6" name="TextBox 5">
          <a:extLst>
            <a:ext uri="{FF2B5EF4-FFF2-40B4-BE49-F238E27FC236}">
              <a16:creationId xmlns:a16="http://schemas.microsoft.com/office/drawing/2014/main" id="{E4D3CB0D-BF72-FB42-BDD1-A45B7F6DEB8E}"/>
            </a:ext>
          </a:extLst>
        </xdr:cNvPr>
        <xdr:cNvSpPr txBox="1"/>
      </xdr:nvSpPr>
      <xdr:spPr>
        <a:xfrm>
          <a:off x="6633630" y="6501010"/>
          <a:ext cx="1801498" cy="2973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94B5EBD3-8F1E-B745-9BC8-91F233D87555}" type="TxLink">
            <a:rPr lang="en-US" sz="12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29.023,82 €</a:t>
          </a:fld>
          <a:endParaRPr lang="en-US" sz="16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6</xdr:col>
      <xdr:colOff>785177</xdr:colOff>
      <xdr:row>27</xdr:row>
      <xdr:rowOff>150871</xdr:rowOff>
    </xdr:from>
    <xdr:to>
      <xdr:col>7</xdr:col>
      <xdr:colOff>708934</xdr:colOff>
      <xdr:row>29</xdr:row>
      <xdr:rowOff>33650</xdr:rowOff>
    </xdr:to>
    <xdr:sp macro="" textlink="$H$40">
      <xdr:nvSpPr>
        <xdr:cNvPr id="7" name="TextBox 6">
          <a:extLst>
            <a:ext uri="{FF2B5EF4-FFF2-40B4-BE49-F238E27FC236}">
              <a16:creationId xmlns:a16="http://schemas.microsoft.com/office/drawing/2014/main" id="{3B3BA564-CB07-0640-AA04-8A2F5C63CCC4}"/>
            </a:ext>
          </a:extLst>
        </xdr:cNvPr>
        <xdr:cNvSpPr txBox="1"/>
      </xdr:nvSpPr>
      <xdr:spPr>
        <a:xfrm>
          <a:off x="9116377" y="6526271"/>
          <a:ext cx="1142957" cy="2891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932790C-5EBE-B441-BA22-C6A9C5C3157A}" type="TxLink">
            <a:rPr lang="en-US" sz="12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ea typeface="+mn-ea"/>
              <a:cs typeface="Arial"/>
            </a:rPr>
            <a:pPr marL="0" indent="0" algn="ctr"/>
            <a:t>30.171,82 €</a:t>
          </a:fld>
          <a:endParaRPr lang="en-US" sz="1800" b="0" i="0" u="none" strike="noStrike">
            <a:solidFill>
              <a:schemeClr val="tx1">
                <a:lumMod val="50000"/>
                <a:lumOff val="5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5</xdr:col>
      <xdr:colOff>1078939</xdr:colOff>
      <xdr:row>22</xdr:row>
      <xdr:rowOff>179823</xdr:rowOff>
    </xdr:from>
    <xdr:to>
      <xdr:col>5</xdr:col>
      <xdr:colOff>2085670</xdr:colOff>
      <xdr:row>26</xdr:row>
      <xdr:rowOff>65214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A7975BDF-DE24-1D4A-8962-358405D9CCEF}"/>
            </a:ext>
          </a:extLst>
        </xdr:cNvPr>
        <xdr:cNvGrpSpPr/>
      </xdr:nvGrpSpPr>
      <xdr:grpSpPr>
        <a:xfrm>
          <a:off x="6904374" y="5563519"/>
          <a:ext cx="1006731" cy="713652"/>
          <a:chOff x="12060940" y="2458441"/>
          <a:chExt cx="1005772" cy="683039"/>
        </a:xfrm>
        <a:solidFill>
          <a:schemeClr val="bg1"/>
        </a:solidFill>
      </xdr:grpSpPr>
      <xdr:pic>
        <xdr:nvPicPr>
          <xdr:cNvPr id="9" name="Graphic 8" descr="Car">
            <a:extLst>
              <a:ext uri="{FF2B5EF4-FFF2-40B4-BE49-F238E27FC236}">
                <a16:creationId xmlns:a16="http://schemas.microsoft.com/office/drawing/2014/main" id="{9C63088F-62A6-3442-BF57-FA357BCA0F8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2367832" y="2458441"/>
            <a:ext cx="698880" cy="683039"/>
          </a:xfrm>
          <a:prstGeom prst="rect">
            <a:avLst/>
          </a:prstGeom>
        </xdr:spPr>
      </xdr:pic>
      <xdr:pic>
        <xdr:nvPicPr>
          <xdr:cNvPr id="10" name="Graphic 9" descr="Thought bubble">
            <a:extLst>
              <a:ext uri="{FF2B5EF4-FFF2-40B4-BE49-F238E27FC236}">
                <a16:creationId xmlns:a16="http://schemas.microsoft.com/office/drawing/2014/main" id="{3CDCAA32-6FCB-C34C-9AC0-9283D0623F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flipH="1">
            <a:off x="12060940" y="2558582"/>
            <a:ext cx="322125" cy="358398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892079</xdr:colOff>
      <xdr:row>22</xdr:row>
      <xdr:rowOff>41763</xdr:rowOff>
    </xdr:from>
    <xdr:to>
      <xdr:col>7</xdr:col>
      <xdr:colOff>549356</xdr:colOff>
      <xdr:row>26</xdr:row>
      <xdr:rowOff>95443</xdr:rowOff>
    </xdr:to>
    <xdr:pic>
      <xdr:nvPicPr>
        <xdr:cNvPr id="12" name="Graphic 11" descr="Electric car">
          <a:extLst>
            <a:ext uri="{FF2B5EF4-FFF2-40B4-BE49-F238E27FC236}">
              <a16:creationId xmlns:a16="http://schemas.microsoft.com/office/drawing/2014/main" id="{8C39033E-B9A5-7445-A840-CE60F4EDF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9231371" y="5402736"/>
          <a:ext cx="871082" cy="862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497802</xdr:colOff>
      <xdr:row>26</xdr:row>
      <xdr:rowOff>291233</xdr:rowOff>
    </xdr:from>
    <xdr:to>
      <xdr:col>2</xdr:col>
      <xdr:colOff>1543655</xdr:colOff>
      <xdr:row>31</xdr:row>
      <xdr:rowOff>188886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060D04-AEAC-4748-BA0A-5965BC0F2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2978" y="6402174"/>
          <a:ext cx="1045853" cy="1092947"/>
        </a:xfrm>
        <a:prstGeom prst="rect">
          <a:avLst/>
        </a:prstGeom>
      </xdr:spPr>
    </xdr:pic>
    <xdr:clientData/>
  </xdr:twoCellAnchor>
  <xdr:twoCellAnchor>
    <xdr:from>
      <xdr:col>4</xdr:col>
      <xdr:colOff>672838</xdr:colOff>
      <xdr:row>3</xdr:row>
      <xdr:rowOff>54623</xdr:rowOff>
    </xdr:from>
    <xdr:to>
      <xdr:col>8</xdr:col>
      <xdr:colOff>95589</xdr:colOff>
      <xdr:row>25</xdr:row>
      <xdr:rowOff>111076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EABB46-0ECD-AD4A-961A-E13DD5C19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828386</xdr:colOff>
      <xdr:row>8</xdr:row>
      <xdr:rowOff>86243</xdr:rowOff>
    </xdr:from>
    <xdr:to>
      <xdr:col>6</xdr:col>
      <xdr:colOff>336517</xdr:colOff>
      <xdr:row>11</xdr:row>
      <xdr:rowOff>120438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28C76725-E7D0-B145-9834-3DAF620DB3D2}"/>
            </a:ext>
          </a:extLst>
        </xdr:cNvPr>
        <xdr:cNvGrpSpPr/>
      </xdr:nvGrpSpPr>
      <xdr:grpSpPr>
        <a:xfrm>
          <a:off x="6644986" y="2283343"/>
          <a:ext cx="1336931" cy="694595"/>
          <a:chOff x="12060940" y="2458441"/>
          <a:chExt cx="1005772" cy="683039"/>
        </a:xfrm>
        <a:solidFill>
          <a:schemeClr val="bg1"/>
        </a:solidFill>
      </xdr:grpSpPr>
      <xdr:pic>
        <xdr:nvPicPr>
          <xdr:cNvPr id="5" name="Graphic 4" descr="Car">
            <a:extLst>
              <a:ext uri="{FF2B5EF4-FFF2-40B4-BE49-F238E27FC236}">
                <a16:creationId xmlns:a16="http://schemas.microsoft.com/office/drawing/2014/main" id="{B596ECBB-EAB5-3D44-BA73-F2B61E482C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12367832" y="2458441"/>
            <a:ext cx="698880" cy="683039"/>
          </a:xfrm>
          <a:prstGeom prst="rect">
            <a:avLst/>
          </a:prstGeom>
        </xdr:spPr>
      </xdr:pic>
      <xdr:pic>
        <xdr:nvPicPr>
          <xdr:cNvPr id="9" name="Graphic 8" descr="Thought bubble">
            <a:extLst>
              <a:ext uri="{FF2B5EF4-FFF2-40B4-BE49-F238E27FC236}">
                <a16:creationId xmlns:a16="http://schemas.microsoft.com/office/drawing/2014/main" id="{4E456768-0267-5343-9913-07896E0016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flipH="1">
            <a:off x="12060940" y="2558582"/>
            <a:ext cx="322125" cy="358398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1121797</xdr:colOff>
      <xdr:row>7</xdr:row>
      <xdr:rowOff>149664</xdr:rowOff>
    </xdr:from>
    <xdr:to>
      <xdr:col>7</xdr:col>
      <xdr:colOff>1011540</xdr:colOff>
      <xdr:row>11</xdr:row>
      <xdr:rowOff>201949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452AC94E-FBE5-3045-9EC3-B6A9DB8F2959}"/>
            </a:ext>
          </a:extLst>
        </xdr:cNvPr>
        <xdr:cNvGrpSpPr/>
      </xdr:nvGrpSpPr>
      <xdr:grpSpPr>
        <a:xfrm>
          <a:off x="8767197" y="2143564"/>
          <a:ext cx="1324843" cy="915885"/>
          <a:chOff x="14223834" y="3496776"/>
          <a:chExt cx="1319103" cy="902835"/>
        </a:xfrm>
        <a:solidFill>
          <a:schemeClr val="bg2">
            <a:lumMod val="50000"/>
          </a:schemeClr>
        </a:solidFill>
      </xdr:grpSpPr>
      <xdr:pic>
        <xdr:nvPicPr>
          <xdr:cNvPr id="7" name="Graphic 6" descr="Electric car">
            <a:extLst>
              <a:ext uri="{FF2B5EF4-FFF2-40B4-BE49-F238E27FC236}">
                <a16:creationId xmlns:a16="http://schemas.microsoft.com/office/drawing/2014/main" id="{B84CA320-B68B-DE44-B065-6242554A47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4675629" y="3549022"/>
            <a:ext cx="867308" cy="850589"/>
          </a:xfrm>
          <a:prstGeom prst="rect">
            <a:avLst/>
          </a:prstGeom>
        </xdr:spPr>
      </xdr:pic>
      <xdr:pic>
        <xdr:nvPicPr>
          <xdr:cNvPr id="11" name="Graphic 10" descr="Factory">
            <a:extLst>
              <a:ext uri="{FF2B5EF4-FFF2-40B4-BE49-F238E27FC236}">
                <a16:creationId xmlns:a16="http://schemas.microsoft.com/office/drawing/2014/main" id="{01FC95C8-D961-BA4D-820B-2FB231DC07C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4223834" y="3710981"/>
            <a:ext cx="410294" cy="407029"/>
          </a:xfrm>
          <a:prstGeom prst="rect">
            <a:avLst/>
          </a:prstGeom>
        </xdr:spPr>
      </xdr:pic>
      <xdr:pic>
        <xdr:nvPicPr>
          <xdr:cNvPr id="12" name="Graphic 11" descr="Thought bubble">
            <a:extLst>
              <a:ext uri="{FF2B5EF4-FFF2-40B4-BE49-F238E27FC236}">
                <a16:creationId xmlns:a16="http://schemas.microsoft.com/office/drawing/2014/main" id="{AED88A1B-9007-A048-B9D2-B5FB2B0181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>
            <a:off x="14267632" y="3496776"/>
            <a:ext cx="284938" cy="359518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789287</xdr:colOff>
      <xdr:row>23</xdr:row>
      <xdr:rowOff>194816</xdr:rowOff>
    </xdr:from>
    <xdr:to>
      <xdr:col>6</xdr:col>
      <xdr:colOff>433481</xdr:colOff>
      <xdr:row>25</xdr:row>
      <xdr:rowOff>96843</xdr:rowOff>
    </xdr:to>
    <xdr:sp macro="" textlink="$G$33">
      <xdr:nvSpPr>
        <xdr:cNvPr id="15" name="TextBox 14">
          <a:extLst>
            <a:ext uri="{FF2B5EF4-FFF2-40B4-BE49-F238E27FC236}">
              <a16:creationId xmlns:a16="http://schemas.microsoft.com/office/drawing/2014/main" id="{034E655C-8BE1-2045-9438-405F21FF0700}"/>
            </a:ext>
          </a:extLst>
        </xdr:cNvPr>
        <xdr:cNvSpPr txBox="1"/>
      </xdr:nvSpPr>
      <xdr:spPr>
        <a:xfrm>
          <a:off x="6606706" y="5643526"/>
          <a:ext cx="1146345" cy="3117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F9500F73-AD65-8445-9BBC-7374442B12D6}" type="TxLink">
            <a:rPr lang="en-US" sz="16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20,25 tons</a:t>
          </a:fld>
          <a:endParaRPr lang="en-US" sz="14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6</xdr:col>
      <xdr:colOff>1250832</xdr:colOff>
      <xdr:row>24</xdr:row>
      <xdr:rowOff>5638</xdr:rowOff>
    </xdr:from>
    <xdr:to>
      <xdr:col>7</xdr:col>
      <xdr:colOff>963307</xdr:colOff>
      <xdr:row>25</xdr:row>
      <xdr:rowOff>100853</xdr:rowOff>
    </xdr:to>
    <xdr:sp macro="" textlink="$H$33">
      <xdr:nvSpPr>
        <xdr:cNvPr id="16" name="TextBox 15">
          <a:extLst>
            <a:ext uri="{FF2B5EF4-FFF2-40B4-BE49-F238E27FC236}">
              <a16:creationId xmlns:a16="http://schemas.microsoft.com/office/drawing/2014/main" id="{4CE5F042-1793-494F-A75D-C60A3D52AB83}"/>
            </a:ext>
          </a:extLst>
        </xdr:cNvPr>
        <xdr:cNvSpPr txBox="1"/>
      </xdr:nvSpPr>
      <xdr:spPr>
        <a:xfrm>
          <a:off x="8570402" y="5659186"/>
          <a:ext cx="1146346" cy="3000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FB52C8B0-477F-AF45-A755-9DAFD9C414AF}" type="TxLink">
            <a:rPr lang="en-US" sz="16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ea typeface="+mn-ea"/>
              <a:cs typeface="Arial"/>
            </a:rPr>
            <a:pPr marL="0" indent="0" algn="ctr"/>
            <a:t>13,97 tons</a:t>
          </a:fld>
          <a:endParaRPr lang="en-US" sz="1600" b="0" i="0" u="none" strike="noStrike">
            <a:solidFill>
              <a:schemeClr val="tx1">
                <a:lumMod val="50000"/>
                <a:lumOff val="5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vtalk.c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evtalk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16D94-DE60-C24D-8F00-F2F49D06F00C}">
  <dimension ref="B1:P78"/>
  <sheetViews>
    <sheetView topLeftCell="C44" zoomScale="92" workbookViewId="0">
      <selection activeCell="F45" sqref="F45"/>
    </sheetView>
  </sheetViews>
  <sheetFormatPr baseColWidth="10" defaultRowHeight="16" x14ac:dyDescent="0.2"/>
  <cols>
    <col min="1" max="1" width="6.5" style="1" customWidth="1"/>
    <col min="2" max="2" width="9.6640625" style="1" customWidth="1"/>
    <col min="3" max="3" width="32" style="1" customWidth="1"/>
    <col min="4" max="4" width="17.33203125" style="1" customWidth="1"/>
    <col min="5" max="5" width="10.83203125" style="1"/>
    <col min="6" max="6" width="33" style="1" customWidth="1"/>
    <col min="7" max="7" width="16" style="1" customWidth="1"/>
    <col min="8" max="16" width="12.83203125" style="1" bestFit="1" customWidth="1"/>
    <col min="17" max="16384" width="10.83203125" style="1"/>
  </cols>
  <sheetData>
    <row r="1" spans="2:9" ht="45" customHeight="1" thickBot="1" x14ac:dyDescent="0.25"/>
    <row r="2" spans="2:9" ht="17" customHeight="1" x14ac:dyDescent="0.2">
      <c r="B2" s="18"/>
      <c r="C2" s="19"/>
      <c r="D2" s="19"/>
      <c r="E2" s="19"/>
      <c r="F2" s="19"/>
      <c r="G2" s="19"/>
      <c r="H2" s="19"/>
      <c r="I2" s="20"/>
    </row>
    <row r="3" spans="2:9" ht="33" x14ac:dyDescent="0.35">
      <c r="B3" s="21"/>
      <c r="C3" s="32" t="s">
        <v>0</v>
      </c>
      <c r="I3" s="22"/>
    </row>
    <row r="4" spans="2:9" ht="23" x14ac:dyDescent="0.25">
      <c r="B4" s="21"/>
      <c r="C4" s="26" t="s">
        <v>1</v>
      </c>
      <c r="I4" s="22"/>
    </row>
    <row r="5" spans="2:9" x14ac:dyDescent="0.2">
      <c r="B5" s="21"/>
      <c r="I5" s="22"/>
    </row>
    <row r="6" spans="2:9" ht="20" x14ac:dyDescent="0.2">
      <c r="B6" s="21"/>
      <c r="C6" s="2" t="s">
        <v>22</v>
      </c>
      <c r="I6" s="22"/>
    </row>
    <row r="7" spans="2:9" x14ac:dyDescent="0.2">
      <c r="B7" s="21"/>
      <c r="C7" s="3" t="s">
        <v>2</v>
      </c>
      <c r="D7" s="5">
        <v>1.23</v>
      </c>
      <c r="I7" s="22"/>
    </row>
    <row r="8" spans="2:9" x14ac:dyDescent="0.2">
      <c r="B8" s="21"/>
      <c r="C8" s="3" t="s">
        <v>11</v>
      </c>
      <c r="D8" s="5">
        <v>0.189</v>
      </c>
      <c r="I8" s="22"/>
    </row>
    <row r="9" spans="2:9" x14ac:dyDescent="0.2">
      <c r="B9" s="21"/>
      <c r="I9" s="22"/>
    </row>
    <row r="10" spans="2:9" ht="20" x14ac:dyDescent="0.2">
      <c r="B10" s="21"/>
      <c r="C10" s="2" t="s">
        <v>23</v>
      </c>
      <c r="I10" s="22"/>
    </row>
    <row r="11" spans="2:9" x14ac:dyDescent="0.2">
      <c r="B11" s="21"/>
      <c r="C11" s="3" t="s">
        <v>9</v>
      </c>
      <c r="D11" s="13">
        <v>13900</v>
      </c>
      <c r="I11" s="22"/>
    </row>
    <row r="12" spans="2:9" x14ac:dyDescent="0.2">
      <c r="B12" s="21"/>
      <c r="C12" s="3" t="s">
        <v>10</v>
      </c>
      <c r="D12" s="4">
        <v>8</v>
      </c>
      <c r="I12" s="22"/>
    </row>
    <row r="13" spans="2:9" x14ac:dyDescent="0.2">
      <c r="B13" s="21"/>
      <c r="C13" s="3" t="s">
        <v>19</v>
      </c>
      <c r="D13" s="14">
        <f>D11*D12</f>
        <v>111200</v>
      </c>
      <c r="I13" s="22"/>
    </row>
    <row r="14" spans="2:9" x14ac:dyDescent="0.2">
      <c r="B14" s="21"/>
      <c r="I14" s="22"/>
    </row>
    <row r="15" spans="2:9" ht="20" x14ac:dyDescent="0.2">
      <c r="B15" s="21"/>
      <c r="C15" s="2" t="s">
        <v>24</v>
      </c>
      <c r="I15" s="22"/>
    </row>
    <row r="16" spans="2:9" x14ac:dyDescent="0.2">
      <c r="B16" s="21"/>
      <c r="C16" s="3" t="s">
        <v>3</v>
      </c>
      <c r="D16" s="7" t="s">
        <v>27</v>
      </c>
      <c r="I16" s="22"/>
    </row>
    <row r="17" spans="2:9" x14ac:dyDescent="0.2">
      <c r="B17" s="21"/>
      <c r="C17" s="3" t="s">
        <v>4</v>
      </c>
      <c r="D17" s="5">
        <v>15340</v>
      </c>
      <c r="I17" s="22"/>
    </row>
    <row r="18" spans="2:9" x14ac:dyDescent="0.2">
      <c r="B18" s="21"/>
      <c r="C18" s="3" t="s">
        <v>18</v>
      </c>
      <c r="D18" s="5">
        <v>1000</v>
      </c>
      <c r="I18" s="22"/>
    </row>
    <row r="19" spans="2:9" x14ac:dyDescent="0.2">
      <c r="B19" s="21"/>
      <c r="C19" s="3" t="s">
        <v>57</v>
      </c>
      <c r="D19" s="12">
        <v>-0.3</v>
      </c>
      <c r="I19" s="22"/>
    </row>
    <row r="20" spans="2:9" x14ac:dyDescent="0.2">
      <c r="B20" s="21"/>
      <c r="C20" s="3" t="s">
        <v>6</v>
      </c>
      <c r="D20" s="34">
        <v>6.6</v>
      </c>
      <c r="I20" s="22"/>
    </row>
    <row r="21" spans="2:9" x14ac:dyDescent="0.2">
      <c r="B21" s="21"/>
      <c r="I21" s="22"/>
    </row>
    <row r="22" spans="2:9" ht="20" x14ac:dyDescent="0.2">
      <c r="B22" s="21"/>
      <c r="C22" s="2" t="s">
        <v>25</v>
      </c>
      <c r="I22" s="22"/>
    </row>
    <row r="23" spans="2:9" x14ac:dyDescent="0.2">
      <c r="B23" s="21"/>
      <c r="C23" s="3" t="s">
        <v>3</v>
      </c>
      <c r="D23" s="7" t="s">
        <v>16</v>
      </c>
      <c r="I23" s="22"/>
    </row>
    <row r="24" spans="2:9" x14ac:dyDescent="0.2">
      <c r="B24" s="21"/>
      <c r="C24" s="3" t="s">
        <v>4</v>
      </c>
      <c r="D24" s="5">
        <v>21700</v>
      </c>
      <c r="E24" s="9"/>
      <c r="I24" s="22"/>
    </row>
    <row r="25" spans="2:9" x14ac:dyDescent="0.2">
      <c r="B25" s="21"/>
      <c r="C25" s="3" t="s">
        <v>18</v>
      </c>
      <c r="D25" s="5">
        <v>1000</v>
      </c>
      <c r="E25" s="59"/>
      <c r="I25" s="22"/>
    </row>
    <row r="26" spans="2:9" x14ac:dyDescent="0.2">
      <c r="B26" s="21"/>
      <c r="C26" s="3" t="s">
        <v>57</v>
      </c>
      <c r="D26" s="12">
        <v>-0.3</v>
      </c>
      <c r="I26" s="22"/>
    </row>
    <row r="27" spans="2:9" x14ac:dyDescent="0.2">
      <c r="B27" s="21"/>
      <c r="C27" s="3" t="s">
        <v>7</v>
      </c>
      <c r="D27" s="6">
        <v>15</v>
      </c>
      <c r="I27" s="22"/>
    </row>
    <row r="28" spans="2:9" x14ac:dyDescent="0.2">
      <c r="B28" s="21"/>
      <c r="C28" s="3" t="s">
        <v>8</v>
      </c>
      <c r="D28" s="13">
        <v>160000</v>
      </c>
      <c r="I28" s="22"/>
    </row>
    <row r="29" spans="2:9" x14ac:dyDescent="0.2">
      <c r="B29" s="21"/>
      <c r="I29" s="22"/>
    </row>
    <row r="30" spans="2:9" ht="20" x14ac:dyDescent="0.2">
      <c r="B30" s="21"/>
      <c r="C30" s="2" t="s">
        <v>26</v>
      </c>
      <c r="I30" s="22"/>
    </row>
    <row r="31" spans="2:9" x14ac:dyDescent="0.2">
      <c r="B31" s="21"/>
      <c r="C31" s="3" t="s">
        <v>5</v>
      </c>
      <c r="D31" s="4">
        <v>0.04</v>
      </c>
      <c r="I31" s="22"/>
    </row>
    <row r="32" spans="2:9" ht="28" x14ac:dyDescent="0.3">
      <c r="B32" s="21"/>
      <c r="C32" s="3"/>
      <c r="F32" s="33" t="s">
        <v>41</v>
      </c>
      <c r="I32" s="22"/>
    </row>
    <row r="33" spans="2:16" x14ac:dyDescent="0.2">
      <c r="B33" s="21"/>
      <c r="C33" s="3"/>
      <c r="G33" s="48" t="s">
        <v>27</v>
      </c>
      <c r="H33" s="48" t="s">
        <v>16</v>
      </c>
      <c r="I33" s="22"/>
    </row>
    <row r="34" spans="2:16" x14ac:dyDescent="0.2">
      <c r="B34" s="21"/>
      <c r="C34" s="3"/>
      <c r="F34" s="1" t="s">
        <v>4</v>
      </c>
      <c r="G34" s="9">
        <f>D17</f>
        <v>15340</v>
      </c>
      <c r="H34" s="9">
        <f>D24</f>
        <v>21700</v>
      </c>
      <c r="I34" s="22"/>
    </row>
    <row r="35" spans="2:16" ht="17" thickBot="1" x14ac:dyDescent="0.25">
      <c r="B35" s="21"/>
      <c r="C35" s="3"/>
      <c r="F35" s="24" t="s">
        <v>49</v>
      </c>
      <c r="G35" s="57">
        <f>IF(D12=0,G58,IF(D12=1,H58,IF(D12=2,I58,IF(D12=3,J58,IF(D12=4,K58,IF(D12=5,L58,IF(D12=6,M58,IF(D12=7,N58,IF(D12=8,O58,IF(D12=9,P58,""))))))))))</f>
        <v>-646.16430799609702</v>
      </c>
      <c r="H35" s="57">
        <f>IF(D12=0,G74,IF(D12=1,H74,IF(D12=2,I74,IF(D12=3,J74,IF(D12=4,K74,IF(D12=5,L74,IF(D12=6,M74,IF(D12=7,N74,IF(D12=8,O74,IF(D12=9,P74,""))))))))))</f>
        <v>-914.06554651338354</v>
      </c>
      <c r="I35" s="22"/>
    </row>
    <row r="36" spans="2:16" ht="51" x14ac:dyDescent="0.2">
      <c r="B36" s="21"/>
      <c r="C36" s="3"/>
      <c r="F36" s="58" t="s">
        <v>63</v>
      </c>
      <c r="G36" s="9">
        <f>G52  +  IF(D12=0,G58,IF(D12=1,H58,IF(D12=2,I58,IF(D12=3,J58,IF(D12=4,K58,IF(D12=5,L58,IF(D12=6,M58,IF(D12=7,N58,IF(D12=8,O58,IF(D12=9,P58,""))))))))))</f>
        <v>14693.835692003902</v>
      </c>
      <c r="H36" s="9">
        <f>D24 +  IF(D12=0,G74,IF(D12=1,H74,IF(D12=2,I74,IF(D12=3,J74,IF(D12=4,K74,IF(D12=5,L74,IF(D12=6,M74,IF(D12=7,N74,IF(D12=8,O74,IF(D12=9,P74,""))))))))))</f>
        <v>20785.934453486618</v>
      </c>
      <c r="I36" s="22"/>
    </row>
    <row r="37" spans="2:16" x14ac:dyDescent="0.2">
      <c r="B37" s="21"/>
      <c r="C37" s="3"/>
      <c r="F37" s="1" t="s">
        <v>17</v>
      </c>
      <c r="G37" s="9">
        <f>IF(D12=0,G61,IF(D12=1,H61,IF(D12=2,I61,IF(D12=3,J61,IF(D12=4,K61,IF(D12=5,L61,IF(D12=6,M61,IF(D12=7,N61,IF(D12=8,O61,IF(D12=9,P61,""))))))))))</f>
        <v>6732.7448749503974</v>
      </c>
      <c r="H37" s="9">
        <f>IF(D12=0,G77,IF(D12=1,H77,IF(D12=2,I77,IF(D12=3,J77,IF(D12=4,K77,IF(D12=5,L77,IF(D12=6,M77,IF(D12=7,N77,IF(D12=8,O77,IF(D12=9,P77,""))))))))))</f>
        <v>6732.7448749503974</v>
      </c>
      <c r="I37" s="22"/>
    </row>
    <row r="38" spans="2:16" x14ac:dyDescent="0.2">
      <c r="B38" s="21"/>
      <c r="C38" s="3"/>
      <c r="F38" s="1" t="s">
        <v>45</v>
      </c>
      <c r="G38" s="9">
        <f>IF(D12=0,G60,IF(D12=1,H60,IF(D12=2,I60,IF(D12=3,J60,IF(D12=4,K60,IF(D12=5,L60,IF(D12=6,M60,IF(D12=7,N60,IF(D12=8,O60,IF(D12=9,P60,""))))))))))</f>
        <v>7597.2427823837797</v>
      </c>
      <c r="H38" s="9"/>
      <c r="I38" s="22"/>
    </row>
    <row r="39" spans="2:16" x14ac:dyDescent="0.2">
      <c r="B39" s="21"/>
      <c r="C39" s="3"/>
      <c r="F39" s="1" t="s">
        <v>48</v>
      </c>
      <c r="G39" s="9"/>
      <c r="H39" s="9">
        <f>IF(D12=0,G76,IF(D12=1,H76,IF(D12=2,I76,IF(D12=3,J76,IF(D12=4,K76,IF(D12=5,L76,IF(D12=6,M76,IF(D12=7,N76,IF(D12=8,O76,IF(D12=9,P76,""))))))))))</f>
        <v>2653.1391091473283</v>
      </c>
      <c r="I39" s="22"/>
    </row>
    <row r="40" spans="2:16" ht="17" thickBot="1" x14ac:dyDescent="0.25">
      <c r="B40" s="21"/>
      <c r="C40" s="3"/>
      <c r="F40" s="47" t="s">
        <v>35</v>
      </c>
      <c r="G40" s="54">
        <f>SUM(G36:G39)</f>
        <v>29023.823349338079</v>
      </c>
      <c r="H40" s="54">
        <f>SUM(H36:H39)</f>
        <v>30171.818437584341</v>
      </c>
      <c r="I40" s="22"/>
    </row>
    <row r="41" spans="2:16" ht="17" thickTop="1" x14ac:dyDescent="0.2">
      <c r="B41" s="21"/>
      <c r="C41" s="30" t="s">
        <v>20</v>
      </c>
      <c r="I41" s="22"/>
    </row>
    <row r="42" spans="2:16" ht="18" x14ac:dyDescent="0.2">
      <c r="B42" s="21"/>
      <c r="C42" s="31" t="s">
        <v>21</v>
      </c>
      <c r="F42" s="38" t="s">
        <v>42</v>
      </c>
      <c r="G42" s="50" t="str">
        <f>IF(G62&gt;G78,G46,IF(H62&gt;H78,H46,IF(I62&gt;I78,I46,IF(J62&gt;J78,J46,IF(K62&gt;K78,K46,IF(L62&gt;L78,L46,IF(M62&gt;M78,M46,IF(N62&gt;N78,N46,IF(O62&gt;O78,O46,IF(P62&gt;P78,P46,"more than 9"))))))))))</f>
        <v>more than 9</v>
      </c>
      <c r="H42" s="50"/>
      <c r="I42" s="22"/>
    </row>
    <row r="43" spans="2:16" ht="17" thickBot="1" x14ac:dyDescent="0.25">
      <c r="B43" s="23"/>
      <c r="C43" s="56"/>
      <c r="D43" s="24"/>
      <c r="E43" s="24"/>
      <c r="F43" s="24"/>
      <c r="G43" s="24"/>
      <c r="H43" s="24"/>
      <c r="I43" s="25"/>
    </row>
    <row r="44" spans="2:16" x14ac:dyDescent="0.2">
      <c r="C44" s="31"/>
    </row>
    <row r="45" spans="2:16" ht="28" x14ac:dyDescent="0.3">
      <c r="F45" s="33" t="s">
        <v>15</v>
      </c>
    </row>
    <row r="46" spans="2:16" x14ac:dyDescent="0.2">
      <c r="F46" s="10" t="s">
        <v>12</v>
      </c>
      <c r="G46" s="11">
        <v>0</v>
      </c>
      <c r="H46" s="11">
        <v>1</v>
      </c>
      <c r="I46" s="11">
        <v>2</v>
      </c>
      <c r="J46" s="11">
        <v>3</v>
      </c>
      <c r="K46" s="11">
        <v>4</v>
      </c>
      <c r="L46" s="11">
        <v>5</v>
      </c>
      <c r="M46" s="11">
        <v>6</v>
      </c>
      <c r="N46" s="11">
        <v>7</v>
      </c>
      <c r="O46" s="11">
        <v>8</v>
      </c>
      <c r="P46" s="11">
        <v>9</v>
      </c>
    </row>
    <row r="47" spans="2:16" x14ac:dyDescent="0.2">
      <c r="F47" s="27" t="s">
        <v>14</v>
      </c>
      <c r="G47" s="29">
        <v>1</v>
      </c>
      <c r="H47" s="29">
        <f>1/((1+$D$31)^H46)</f>
        <v>0.96153846153846145</v>
      </c>
      <c r="I47" s="29">
        <f t="shared" ref="I47:P47" si="0">1/((1+$D$31)^I46)</f>
        <v>0.92455621301775137</v>
      </c>
      <c r="J47" s="29">
        <f t="shared" si="0"/>
        <v>0.88899635867091487</v>
      </c>
      <c r="K47" s="29">
        <f t="shared" si="0"/>
        <v>0.85480419102972571</v>
      </c>
      <c r="L47" s="29">
        <f t="shared" si="0"/>
        <v>0.82192710675935154</v>
      </c>
      <c r="M47" s="29">
        <f t="shared" si="0"/>
        <v>0.79031452573014571</v>
      </c>
      <c r="N47" s="29">
        <f t="shared" si="0"/>
        <v>0.75991781320206331</v>
      </c>
      <c r="O47" s="29">
        <f t="shared" si="0"/>
        <v>0.73069020500198378</v>
      </c>
      <c r="P47" s="29">
        <f t="shared" si="0"/>
        <v>0.70258673557883045</v>
      </c>
    </row>
    <row r="49" spans="6:16" ht="18" x14ac:dyDescent="0.2">
      <c r="F49" s="55" t="str">
        <f>D16</f>
        <v>Renault Clio</v>
      </c>
      <c r="G49" s="28"/>
    </row>
    <row r="50" spans="6:16" x14ac:dyDescent="0.2">
      <c r="F50" s="8" t="s">
        <v>56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6:16" x14ac:dyDescent="0.2">
      <c r="F51" s="27" t="s">
        <v>50</v>
      </c>
      <c r="G51" s="28" t="str">
        <f>IF($D$12=G46,    ($D$17*((1+($D$19))^$D$12))  *G47*(-1),     "")</f>
        <v/>
      </c>
      <c r="H51" s="28" t="str">
        <f t="shared" ref="H51:P51" si="1">IF($D$12=H46,    ($D$17*((1+($D$19))^$D$12))  *H47*(-1),     "")</f>
        <v/>
      </c>
      <c r="I51" s="28" t="str">
        <f t="shared" si="1"/>
        <v/>
      </c>
      <c r="J51" s="28" t="str">
        <f t="shared" si="1"/>
        <v/>
      </c>
      <c r="K51" s="28" t="str">
        <f t="shared" si="1"/>
        <v/>
      </c>
      <c r="L51" s="28" t="str">
        <f t="shared" si="1"/>
        <v/>
      </c>
      <c r="M51" s="28" t="str">
        <f t="shared" si="1"/>
        <v/>
      </c>
      <c r="N51" s="28" t="str">
        <f t="shared" si="1"/>
        <v/>
      </c>
      <c r="O51" s="28">
        <f t="shared" si="1"/>
        <v>-646.16430799609702</v>
      </c>
      <c r="P51" s="28" t="str">
        <f t="shared" si="1"/>
        <v/>
      </c>
    </row>
    <row r="52" spans="6:16" x14ac:dyDescent="0.2">
      <c r="F52" s="27" t="s">
        <v>13</v>
      </c>
      <c r="G52" s="28">
        <f>D17*G47</f>
        <v>15340</v>
      </c>
      <c r="H52" s="28"/>
      <c r="I52" s="28"/>
      <c r="J52" s="28"/>
      <c r="K52" s="28"/>
      <c r="L52" s="28"/>
      <c r="M52" s="28"/>
      <c r="N52" s="28"/>
      <c r="O52" s="28"/>
      <c r="P52" s="28"/>
    </row>
    <row r="53" spans="6:16" x14ac:dyDescent="0.2">
      <c r="F53" s="27" t="s">
        <v>52</v>
      </c>
      <c r="G53" s="28"/>
      <c r="H53" s="28">
        <f t="shared" ref="H53:P53" si="2">$D$20*($D$11/100)*$D$7*H47</f>
        <v>1085.001923076923</v>
      </c>
      <c r="I53" s="28">
        <f t="shared" si="2"/>
        <v>1043.2710798816568</v>
      </c>
      <c r="J53" s="28">
        <f t="shared" si="2"/>
        <v>1003.1452691169777</v>
      </c>
      <c r="K53" s="28">
        <f t="shared" si="2"/>
        <v>964.56275876632458</v>
      </c>
      <c r="L53" s="28">
        <f t="shared" si="2"/>
        <v>927.46419112146589</v>
      </c>
      <c r="M53" s="28">
        <f t="shared" si="2"/>
        <v>891.79249146294796</v>
      </c>
      <c r="N53" s="28">
        <f t="shared" si="2"/>
        <v>857.49278025283468</v>
      </c>
      <c r="O53" s="28">
        <f t="shared" si="2"/>
        <v>824.51228870464854</v>
      </c>
      <c r="P53" s="28">
        <f t="shared" si="2"/>
        <v>792.80027760062342</v>
      </c>
    </row>
    <row r="54" spans="6:16" x14ac:dyDescent="0.2">
      <c r="F54" s="27" t="s">
        <v>51</v>
      </c>
      <c r="G54" s="28"/>
      <c r="H54" s="28">
        <f t="shared" ref="H54:P54" si="3">$D$18*H47</f>
        <v>961.53846153846143</v>
      </c>
      <c r="I54" s="28">
        <f t="shared" si="3"/>
        <v>924.55621301775136</v>
      </c>
      <c r="J54" s="28">
        <f t="shared" si="3"/>
        <v>888.9963586709149</v>
      </c>
      <c r="K54" s="28">
        <f t="shared" si="3"/>
        <v>854.80419102972576</v>
      </c>
      <c r="L54" s="28">
        <f t="shared" si="3"/>
        <v>821.92710675935155</v>
      </c>
      <c r="M54" s="28">
        <f t="shared" si="3"/>
        <v>790.31452573014576</v>
      </c>
      <c r="N54" s="28">
        <f t="shared" si="3"/>
        <v>759.91781320206326</v>
      </c>
      <c r="O54" s="28">
        <f t="shared" si="3"/>
        <v>730.69020500198383</v>
      </c>
      <c r="P54" s="28">
        <f t="shared" si="3"/>
        <v>702.58673557883048</v>
      </c>
    </row>
    <row r="55" spans="6:16" x14ac:dyDescent="0.2">
      <c r="F55" s="16" t="s">
        <v>59</v>
      </c>
      <c r="G55" s="17">
        <f>SUM(G51:G54)</f>
        <v>15340</v>
      </c>
      <c r="H55" s="17">
        <f t="shared" ref="H55:P55" si="4">SUM(H51:H54)</f>
        <v>2046.5403846153845</v>
      </c>
      <c r="I55" s="17">
        <f t="shared" si="4"/>
        <v>1967.8272928994081</v>
      </c>
      <c r="J55" s="17">
        <f t="shared" si="4"/>
        <v>1892.1416277878925</v>
      </c>
      <c r="K55" s="17">
        <f t="shared" si="4"/>
        <v>1819.3669497960504</v>
      </c>
      <c r="L55" s="17">
        <f t="shared" si="4"/>
        <v>1749.3912978808175</v>
      </c>
      <c r="M55" s="17">
        <f t="shared" si="4"/>
        <v>1682.1070171930937</v>
      </c>
      <c r="N55" s="17">
        <f t="shared" si="4"/>
        <v>1617.4105934548979</v>
      </c>
      <c r="O55" s="17">
        <f t="shared" si="4"/>
        <v>909.03818571053534</v>
      </c>
      <c r="P55" s="17">
        <f t="shared" si="4"/>
        <v>1495.3870131794538</v>
      </c>
    </row>
    <row r="56" spans="6:16" x14ac:dyDescent="0.2">
      <c r="F56" s="27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6:16" x14ac:dyDescent="0.2">
      <c r="F57" s="8" t="s">
        <v>53</v>
      </c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6:16" x14ac:dyDescent="0.2">
      <c r="F58" s="27" t="s">
        <v>50</v>
      </c>
      <c r="G58" s="28">
        <f>SUM(G51)</f>
        <v>0</v>
      </c>
      <c r="H58" s="28">
        <f>SUM($G$51:H51)</f>
        <v>0</v>
      </c>
      <c r="I58" s="28">
        <f>SUM($G$51:I51)</f>
        <v>0</v>
      </c>
      <c r="J58" s="28">
        <f>SUM($G$51:J51)</f>
        <v>0</v>
      </c>
      <c r="K58" s="28">
        <f>SUM($G$51:K51)</f>
        <v>0</v>
      </c>
      <c r="L58" s="28">
        <f>SUM($G$51:L51)</f>
        <v>0</v>
      </c>
      <c r="M58" s="28">
        <f>SUM($G$51:M51)</f>
        <v>0</v>
      </c>
      <c r="N58" s="28">
        <f>SUM($G$51:N51)</f>
        <v>0</v>
      </c>
      <c r="O58" s="28">
        <f>SUM($G$51:O51)</f>
        <v>-646.16430799609702</v>
      </c>
      <c r="P58" s="28">
        <f>SUM($G$51:P51)</f>
        <v>-646.16430799609702</v>
      </c>
    </row>
    <row r="59" spans="6:16" x14ac:dyDescent="0.2">
      <c r="F59" s="27" t="s">
        <v>61</v>
      </c>
      <c r="G59" s="28">
        <f>SUM(G52)</f>
        <v>15340</v>
      </c>
      <c r="H59" s="28">
        <f>SUM($G$52:H52)</f>
        <v>15340</v>
      </c>
      <c r="I59" s="28">
        <f>SUM($G$52:I52)</f>
        <v>15340</v>
      </c>
      <c r="J59" s="28">
        <f>SUM($G$52:J52)</f>
        <v>15340</v>
      </c>
      <c r="K59" s="28">
        <f>SUM($G$52:K52)</f>
        <v>15340</v>
      </c>
      <c r="L59" s="28">
        <f>SUM($G$52:L52)</f>
        <v>15340</v>
      </c>
      <c r="M59" s="28">
        <f>SUM($G$52:M52)</f>
        <v>15340</v>
      </c>
      <c r="N59" s="28">
        <f>SUM($G$52:N52)</f>
        <v>15340</v>
      </c>
      <c r="O59" s="28">
        <f>SUM($G$52:O52)</f>
        <v>15340</v>
      </c>
      <c r="P59" s="28">
        <f>SUM($G$52:P52)</f>
        <v>15340</v>
      </c>
    </row>
    <row r="60" spans="6:16" x14ac:dyDescent="0.2">
      <c r="F60" s="27" t="s">
        <v>54</v>
      </c>
      <c r="G60" s="28"/>
      <c r="H60" s="28">
        <f>SUM(H53)</f>
        <v>1085.001923076923</v>
      </c>
      <c r="I60" s="28">
        <f>SUM($H$53:I53)</f>
        <v>2128.27300295858</v>
      </c>
      <c r="J60" s="28">
        <f>SUM($H$53:J53)</f>
        <v>3131.418272075558</v>
      </c>
      <c r="K60" s="28">
        <f>SUM($H$53:K53)</f>
        <v>4095.9810308418828</v>
      </c>
      <c r="L60" s="28">
        <f>SUM($H$53:L53)</f>
        <v>5023.4452219633486</v>
      </c>
      <c r="M60" s="28">
        <f>SUM($H$53:M53)</f>
        <v>5915.237713426297</v>
      </c>
      <c r="N60" s="28">
        <f>SUM($H$53:N53)</f>
        <v>6772.7304936791315</v>
      </c>
      <c r="O60" s="28">
        <f>SUM($H$53:O53)</f>
        <v>7597.2427823837797</v>
      </c>
      <c r="P60" s="28">
        <f>SUM($H$53:P53)</f>
        <v>8390.043059984404</v>
      </c>
    </row>
    <row r="61" spans="6:16" x14ac:dyDescent="0.2">
      <c r="F61" s="27" t="s">
        <v>55</v>
      </c>
      <c r="G61" s="28"/>
      <c r="H61" s="28">
        <f>SUM(H54)</f>
        <v>961.53846153846143</v>
      </c>
      <c r="I61" s="28">
        <f>SUM($H$54:I54)</f>
        <v>1886.0946745562128</v>
      </c>
      <c r="J61" s="28">
        <f>SUM($H$54:J54)</f>
        <v>2775.0910332271278</v>
      </c>
      <c r="K61" s="28">
        <f>SUM($H$54:K54)</f>
        <v>3629.8952242568535</v>
      </c>
      <c r="L61" s="28">
        <f>SUM($H$54:L54)</f>
        <v>4451.8223310162048</v>
      </c>
      <c r="M61" s="28">
        <f>SUM($H$54:M54)</f>
        <v>5242.1368567463505</v>
      </c>
      <c r="N61" s="28">
        <f>SUM($H$54:N54)</f>
        <v>6002.0546699484139</v>
      </c>
      <c r="O61" s="28">
        <f>SUM($H$54:O54)</f>
        <v>6732.7448749503974</v>
      </c>
      <c r="P61" s="28">
        <f>SUM($H$54:P54)</f>
        <v>7435.3316105292279</v>
      </c>
    </row>
    <row r="62" spans="6:16" x14ac:dyDescent="0.2">
      <c r="F62" s="16" t="s">
        <v>58</v>
      </c>
      <c r="G62" s="17">
        <f>SUM(G58:G61)</f>
        <v>15340</v>
      </c>
      <c r="H62" s="17">
        <f>SUM(H58:H61)</f>
        <v>17386.540384615386</v>
      </c>
      <c r="I62" s="17">
        <f>SUM(I58:I61)</f>
        <v>19354.367677514794</v>
      </c>
      <c r="J62" s="17">
        <f>SUM(J58:J61)</f>
        <v>21246.509305302683</v>
      </c>
      <c r="K62" s="17">
        <f t="shared" ref="K62:P62" si="5">SUM(K58:K61)</f>
        <v>23065.876255098734</v>
      </c>
      <c r="L62" s="17">
        <f t="shared" si="5"/>
        <v>24815.267552979552</v>
      </c>
      <c r="M62" s="17">
        <f t="shared" si="5"/>
        <v>26497.374570172648</v>
      </c>
      <c r="N62" s="17">
        <f t="shared" si="5"/>
        <v>28114.785163627548</v>
      </c>
      <c r="O62" s="17">
        <f>SUM(O58:O61)</f>
        <v>29023.823349338079</v>
      </c>
      <c r="P62" s="17">
        <f t="shared" si="5"/>
        <v>30519.210362517533</v>
      </c>
    </row>
    <row r="65" spans="6:16" ht="18" x14ac:dyDescent="0.2">
      <c r="F65" s="55" t="str">
        <f>D23</f>
        <v>Renault Zoe</v>
      </c>
      <c r="G65" s="28"/>
    </row>
    <row r="66" spans="6:16" x14ac:dyDescent="0.2">
      <c r="F66" s="8" t="s">
        <v>56</v>
      </c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6:16" x14ac:dyDescent="0.2">
      <c r="F67" s="27" t="s">
        <v>50</v>
      </c>
      <c r="G67" s="28" t="str">
        <f>IF($D$12=G46,    ($D$24*((1+($D$26))^$D$12))  *G47*(-1),     "")</f>
        <v/>
      </c>
      <c r="H67" s="28" t="str">
        <f t="shared" ref="H67:P67" si="6">IF($D$12=H46,    ($D$24*((1+($D$26))^$D$12))  *H47*(-1),     "")</f>
        <v/>
      </c>
      <c r="I67" s="28" t="str">
        <f t="shared" si="6"/>
        <v/>
      </c>
      <c r="J67" s="28" t="str">
        <f t="shared" si="6"/>
        <v/>
      </c>
      <c r="K67" s="28" t="str">
        <f t="shared" si="6"/>
        <v/>
      </c>
      <c r="L67" s="28" t="str">
        <f t="shared" si="6"/>
        <v/>
      </c>
      <c r="M67" s="28" t="str">
        <f t="shared" si="6"/>
        <v/>
      </c>
      <c r="N67" s="28" t="str">
        <f t="shared" si="6"/>
        <v/>
      </c>
      <c r="O67" s="28">
        <f t="shared" si="6"/>
        <v>-914.06554651338354</v>
      </c>
      <c r="P67" s="28" t="str">
        <f t="shared" si="6"/>
        <v/>
      </c>
    </row>
    <row r="68" spans="6:16" x14ac:dyDescent="0.2">
      <c r="F68" s="27" t="s">
        <v>13</v>
      </c>
      <c r="G68" s="28">
        <f>D24*G47</f>
        <v>21700</v>
      </c>
      <c r="H68" s="28"/>
      <c r="I68" s="28"/>
      <c r="J68" s="28"/>
      <c r="K68" s="28"/>
      <c r="L68" s="28"/>
      <c r="M68" s="28"/>
      <c r="N68" s="28"/>
      <c r="O68" s="28"/>
      <c r="P68" s="28"/>
    </row>
    <row r="69" spans="6:16" x14ac:dyDescent="0.2">
      <c r="F69" s="27" t="s">
        <v>52</v>
      </c>
      <c r="G69" s="28"/>
      <c r="H69" s="28">
        <f>$D$27*($D$11/100)*$D$8*H47</f>
        <v>378.90865384615381</v>
      </c>
      <c r="I69" s="28">
        <f t="shared" ref="I69:P69" si="7">$D$27*($D$11/100)*$D$8*I47</f>
        <v>364.33524408284018</v>
      </c>
      <c r="J69" s="28">
        <f t="shared" si="7"/>
        <v>350.32235007965409</v>
      </c>
      <c r="K69" s="28">
        <f t="shared" si="7"/>
        <v>336.84841353812885</v>
      </c>
      <c r="L69" s="28">
        <f t="shared" si="7"/>
        <v>323.89270532512387</v>
      </c>
      <c r="M69" s="28">
        <f t="shared" si="7"/>
        <v>311.43529358184986</v>
      </c>
      <c r="N69" s="28">
        <f t="shared" si="7"/>
        <v>299.45701305947108</v>
      </c>
      <c r="O69" s="28">
        <f t="shared" si="7"/>
        <v>287.93943563410676</v>
      </c>
      <c r="P69" s="28">
        <f t="shared" si="7"/>
        <v>276.86484195587184</v>
      </c>
    </row>
    <row r="70" spans="6:16" x14ac:dyDescent="0.2">
      <c r="F70" s="27" t="s">
        <v>51</v>
      </c>
      <c r="G70" s="28"/>
      <c r="H70" s="28">
        <f>$D$25*H47</f>
        <v>961.53846153846143</v>
      </c>
      <c r="I70" s="28">
        <f t="shared" ref="I70:P70" si="8">$D$25*I47</f>
        <v>924.55621301775136</v>
      </c>
      <c r="J70" s="28">
        <f t="shared" si="8"/>
        <v>888.9963586709149</v>
      </c>
      <c r="K70" s="28">
        <f t="shared" si="8"/>
        <v>854.80419102972576</v>
      </c>
      <c r="L70" s="28">
        <f t="shared" si="8"/>
        <v>821.92710675935155</v>
      </c>
      <c r="M70" s="28">
        <f t="shared" si="8"/>
        <v>790.31452573014576</v>
      </c>
      <c r="N70" s="28">
        <f t="shared" si="8"/>
        <v>759.91781320206326</v>
      </c>
      <c r="O70" s="28">
        <f t="shared" si="8"/>
        <v>730.69020500198383</v>
      </c>
      <c r="P70" s="28">
        <f t="shared" si="8"/>
        <v>702.58673557883048</v>
      </c>
    </row>
    <row r="71" spans="6:16" x14ac:dyDescent="0.2">
      <c r="F71" s="16" t="s">
        <v>59</v>
      </c>
      <c r="G71" s="17">
        <f>SUM(G67:G70)</f>
        <v>21700</v>
      </c>
      <c r="H71" s="17">
        <f t="shared" ref="H71" si="9">SUM(H67:H70)</f>
        <v>1340.4471153846152</v>
      </c>
      <c r="I71" s="17">
        <f t="shared" ref="I71" si="10">SUM(I67:I70)</f>
        <v>1288.8914571005917</v>
      </c>
      <c r="J71" s="17">
        <f t="shared" ref="J71" si="11">SUM(J67:J70)</f>
        <v>1239.3187087505689</v>
      </c>
      <c r="K71" s="17">
        <f t="shared" ref="K71" si="12">SUM(K67:K70)</f>
        <v>1191.6526045678547</v>
      </c>
      <c r="L71" s="17">
        <f t="shared" ref="L71" si="13">SUM(L67:L70)</f>
        <v>1145.8198120844754</v>
      </c>
      <c r="M71" s="17">
        <f t="shared" ref="M71" si="14">SUM(M67:M70)</f>
        <v>1101.7498193119957</v>
      </c>
      <c r="N71" s="17">
        <f t="shared" ref="N71" si="15">SUM(N67:N70)</f>
        <v>1059.3748262615343</v>
      </c>
      <c r="O71" s="17">
        <f t="shared" ref="O71" si="16">SUM(O67:O70)</f>
        <v>104.56409412270705</v>
      </c>
      <c r="P71" s="17">
        <f t="shared" ref="P71" si="17">SUM(P67:P70)</f>
        <v>979.45157753470232</v>
      </c>
    </row>
    <row r="72" spans="6:16" x14ac:dyDescent="0.2">
      <c r="F72" s="27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6:16" x14ac:dyDescent="0.2">
      <c r="F73" s="8" t="s">
        <v>53</v>
      </c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6:16" x14ac:dyDescent="0.2">
      <c r="F74" s="27" t="s">
        <v>62</v>
      </c>
      <c r="G74" s="28">
        <f>SUM(G67)</f>
        <v>0</v>
      </c>
      <c r="H74" s="28">
        <f>SUM($G$67:H67)</f>
        <v>0</v>
      </c>
      <c r="I74" s="28">
        <f>SUM($G$67:I67)</f>
        <v>0</v>
      </c>
      <c r="J74" s="28">
        <f>SUM($G$67:J67)</f>
        <v>0</v>
      </c>
      <c r="K74" s="28">
        <f>SUM($G$67:K67)</f>
        <v>0</v>
      </c>
      <c r="L74" s="28">
        <f>SUM($G$67:L67)</f>
        <v>0</v>
      </c>
      <c r="M74" s="28">
        <f>SUM($G$67:M67)</f>
        <v>0</v>
      </c>
      <c r="N74" s="28">
        <f>SUM($G$67:N67)</f>
        <v>0</v>
      </c>
      <c r="O74" s="28">
        <f>SUM($G$67:O67)</f>
        <v>-914.06554651338354</v>
      </c>
      <c r="P74" s="28">
        <f>SUM($G$67:P67)</f>
        <v>-914.06554651338354</v>
      </c>
    </row>
    <row r="75" spans="6:16" x14ac:dyDescent="0.2">
      <c r="F75" s="27" t="s">
        <v>61</v>
      </c>
      <c r="G75" s="28">
        <f>SUM(G68)</f>
        <v>21700</v>
      </c>
      <c r="H75" s="28">
        <f>SUM($G$68:H68)</f>
        <v>21700</v>
      </c>
      <c r="I75" s="28">
        <f>SUM($G$68:I68)</f>
        <v>21700</v>
      </c>
      <c r="J75" s="28">
        <f>SUM($G$68:J68)</f>
        <v>21700</v>
      </c>
      <c r="K75" s="28">
        <f>SUM($G$68:K68)</f>
        <v>21700</v>
      </c>
      <c r="L75" s="28">
        <f>SUM($G$68:L68)</f>
        <v>21700</v>
      </c>
      <c r="M75" s="28">
        <f>SUM($G$68:M68)</f>
        <v>21700</v>
      </c>
      <c r="N75" s="28">
        <f>SUM($G$68:N68)</f>
        <v>21700</v>
      </c>
      <c r="O75" s="28">
        <f>SUM($G$68:O68)</f>
        <v>21700</v>
      </c>
      <c r="P75" s="28">
        <f>SUM($G$68:P68)</f>
        <v>21700</v>
      </c>
    </row>
    <row r="76" spans="6:16" x14ac:dyDescent="0.2">
      <c r="F76" s="27" t="s">
        <v>60</v>
      </c>
      <c r="G76" s="28"/>
      <c r="H76" s="28">
        <f>SUM(H69)</f>
        <v>378.90865384615381</v>
      </c>
      <c r="I76" s="28">
        <f>SUM($H$69:I69)</f>
        <v>743.24389792899399</v>
      </c>
      <c r="J76" s="28">
        <f>SUM($H$69:J69)</f>
        <v>1093.566248008648</v>
      </c>
      <c r="K76" s="28">
        <f>SUM($H$69:K69)</f>
        <v>1430.4146615467769</v>
      </c>
      <c r="L76" s="28">
        <f>SUM($H$69:L69)</f>
        <v>1754.3073668719007</v>
      </c>
      <c r="M76" s="28">
        <f>SUM($H$69:M69)</f>
        <v>2065.7426604537504</v>
      </c>
      <c r="N76" s="28">
        <f>SUM($H$69:N69)</f>
        <v>2365.1996735132216</v>
      </c>
      <c r="O76" s="28">
        <f>SUM($H$69:O69)</f>
        <v>2653.1391091473283</v>
      </c>
      <c r="P76" s="28">
        <f>SUM($H$69:P69)</f>
        <v>2930.0039511032001</v>
      </c>
    </row>
    <row r="77" spans="6:16" x14ac:dyDescent="0.2">
      <c r="F77" s="27" t="s">
        <v>55</v>
      </c>
      <c r="G77" s="28"/>
      <c r="H77" s="28">
        <f>SUM(H70)</f>
        <v>961.53846153846143</v>
      </c>
      <c r="I77" s="28">
        <f>SUM($H$70:I70)</f>
        <v>1886.0946745562128</v>
      </c>
      <c r="J77" s="28">
        <f>SUM($H$70:J70)</f>
        <v>2775.0910332271278</v>
      </c>
      <c r="K77" s="28">
        <f>SUM($H$70:K70)</f>
        <v>3629.8952242568535</v>
      </c>
      <c r="L77" s="28">
        <f>SUM($H$70:L70)</f>
        <v>4451.8223310162048</v>
      </c>
      <c r="M77" s="28">
        <f>SUM($H$70:M70)</f>
        <v>5242.1368567463505</v>
      </c>
      <c r="N77" s="28">
        <f>SUM($H$70:N70)</f>
        <v>6002.0546699484139</v>
      </c>
      <c r="O77" s="28">
        <f>SUM($H$70:O70)</f>
        <v>6732.7448749503974</v>
      </c>
      <c r="P77" s="28">
        <f>SUM($H$70:P70)</f>
        <v>7435.3316105292279</v>
      </c>
    </row>
    <row r="78" spans="6:16" x14ac:dyDescent="0.2">
      <c r="F78" s="16" t="s">
        <v>58</v>
      </c>
      <c r="G78" s="17">
        <f>SUM(G74:G77)</f>
        <v>21700</v>
      </c>
      <c r="H78" s="17">
        <f>SUM(H74:H77)</f>
        <v>23040.447115384613</v>
      </c>
      <c r="I78" s="17">
        <f>SUM(I74:I77)</f>
        <v>24329.338572485209</v>
      </c>
      <c r="J78" s="17">
        <f>SUM(J74:J77)</f>
        <v>25568.657281235774</v>
      </c>
      <c r="K78" s="17">
        <f t="shared" ref="K78:N78" si="18">SUM(K74:K77)</f>
        <v>26760.309885803628</v>
      </c>
      <c r="L78" s="17">
        <f t="shared" si="18"/>
        <v>27906.129697888107</v>
      </c>
      <c r="M78" s="17">
        <f t="shared" si="18"/>
        <v>29007.879517200101</v>
      </c>
      <c r="N78" s="17">
        <f t="shared" si="18"/>
        <v>30067.254343461635</v>
      </c>
      <c r="O78" s="17">
        <f>SUM(O74:O77)</f>
        <v>30171.818437584341</v>
      </c>
      <c r="P78" s="17">
        <f t="shared" ref="P78" si="19">SUM(P74:P77)</f>
        <v>31151.270015119047</v>
      </c>
    </row>
  </sheetData>
  <hyperlinks>
    <hyperlink ref="C42" r:id="rId1" display="www.evtalk.co" xr:uid="{1F17F488-4219-5B4F-AC3D-C57264AE326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6C791-373F-6B4D-8793-5EB400F88946}">
  <dimension ref="B1:P55"/>
  <sheetViews>
    <sheetView tabSelected="1" workbookViewId="0">
      <selection activeCell="F45" sqref="F45"/>
    </sheetView>
  </sheetViews>
  <sheetFormatPr baseColWidth="10" defaultRowHeight="16" x14ac:dyDescent="0.2"/>
  <cols>
    <col min="1" max="1" width="6.5" style="1" customWidth="1"/>
    <col min="2" max="2" width="9.6640625" style="1" customWidth="1"/>
    <col min="3" max="3" width="32" style="1" customWidth="1"/>
    <col min="4" max="4" width="17.33203125" style="1" customWidth="1"/>
    <col min="5" max="5" width="10.83203125" style="1"/>
    <col min="6" max="6" width="24" style="1" customWidth="1"/>
    <col min="7" max="7" width="18.83203125" style="1" customWidth="1"/>
    <col min="8" max="8" width="17" style="1" customWidth="1"/>
    <col min="9" max="16" width="13.5" style="1" bestFit="1" customWidth="1"/>
    <col min="17" max="16384" width="10.83203125" style="1"/>
  </cols>
  <sheetData>
    <row r="1" spans="2:9" ht="32" customHeight="1" thickBot="1" x14ac:dyDescent="0.25"/>
    <row r="2" spans="2:9" ht="17" customHeight="1" x14ac:dyDescent="0.2">
      <c r="B2" s="18"/>
      <c r="C2" s="19"/>
      <c r="D2" s="19"/>
      <c r="E2" s="19"/>
      <c r="F2" s="19"/>
      <c r="G2" s="19"/>
      <c r="H2" s="19"/>
      <c r="I2" s="20"/>
    </row>
    <row r="3" spans="2:9" ht="33" x14ac:dyDescent="0.35">
      <c r="B3" s="21"/>
      <c r="C3" s="32" t="s">
        <v>28</v>
      </c>
      <c r="I3" s="22"/>
    </row>
    <row r="4" spans="2:9" ht="23" x14ac:dyDescent="0.25">
      <c r="B4" s="21"/>
      <c r="C4" s="26" t="s">
        <v>1</v>
      </c>
      <c r="I4" s="22"/>
    </row>
    <row r="5" spans="2:9" x14ac:dyDescent="0.2">
      <c r="B5" s="21"/>
      <c r="I5" s="22"/>
    </row>
    <row r="6" spans="2:9" ht="20" x14ac:dyDescent="0.2">
      <c r="B6" s="21"/>
      <c r="C6" s="2" t="s">
        <v>29</v>
      </c>
      <c r="I6" s="22"/>
    </row>
    <row r="7" spans="2:9" x14ac:dyDescent="0.2">
      <c r="B7" s="21"/>
      <c r="C7" s="3" t="s">
        <v>30</v>
      </c>
      <c r="D7" s="35">
        <v>2.35</v>
      </c>
      <c r="I7" s="22"/>
    </row>
    <row r="8" spans="2:9" x14ac:dyDescent="0.2">
      <c r="B8" s="21"/>
      <c r="C8" s="3" t="s">
        <v>31</v>
      </c>
      <c r="D8" s="36">
        <v>110</v>
      </c>
      <c r="I8" s="22"/>
    </row>
    <row r="9" spans="2:9" x14ac:dyDescent="0.2">
      <c r="B9" s="21"/>
      <c r="C9" s="3" t="s">
        <v>32</v>
      </c>
      <c r="D9" s="37">
        <v>0.315</v>
      </c>
      <c r="I9" s="22"/>
    </row>
    <row r="10" spans="2:9" x14ac:dyDescent="0.2">
      <c r="B10" s="21"/>
      <c r="I10" s="22"/>
    </row>
    <row r="11" spans="2:9" ht="20" x14ac:dyDescent="0.2">
      <c r="B11" s="21"/>
      <c r="C11" s="2" t="s">
        <v>23</v>
      </c>
      <c r="I11" s="22"/>
    </row>
    <row r="12" spans="2:9" x14ac:dyDescent="0.2">
      <c r="B12" s="21"/>
      <c r="C12" s="3" t="s">
        <v>9</v>
      </c>
      <c r="D12" s="13">
        <v>13900</v>
      </c>
      <c r="I12" s="22"/>
    </row>
    <row r="13" spans="2:9" x14ac:dyDescent="0.2">
      <c r="B13" s="21"/>
      <c r="C13" s="3" t="s">
        <v>10</v>
      </c>
      <c r="D13" s="4">
        <v>8</v>
      </c>
      <c r="I13" s="22"/>
    </row>
    <row r="14" spans="2:9" x14ac:dyDescent="0.2">
      <c r="B14" s="21"/>
      <c r="C14" s="3" t="s">
        <v>19</v>
      </c>
      <c r="D14" s="14">
        <f>D12*D13</f>
        <v>111200</v>
      </c>
      <c r="I14" s="22"/>
    </row>
    <row r="15" spans="2:9" x14ac:dyDescent="0.2">
      <c r="B15" s="21"/>
      <c r="I15" s="22"/>
    </row>
    <row r="16" spans="2:9" ht="20" x14ac:dyDescent="0.2">
      <c r="B16" s="21"/>
      <c r="C16" s="2" t="s">
        <v>24</v>
      </c>
      <c r="I16" s="22"/>
    </row>
    <row r="17" spans="2:9" x14ac:dyDescent="0.2">
      <c r="B17" s="21"/>
      <c r="C17" s="3" t="s">
        <v>3</v>
      </c>
      <c r="D17" s="7" t="s">
        <v>27</v>
      </c>
      <c r="I17" s="22"/>
    </row>
    <row r="18" spans="2:9" x14ac:dyDescent="0.2">
      <c r="B18" s="21"/>
      <c r="C18" s="3" t="s">
        <v>34</v>
      </c>
      <c r="D18" s="36">
        <v>3000</v>
      </c>
      <c r="I18" s="22"/>
    </row>
    <row r="19" spans="2:9" x14ac:dyDescent="0.2">
      <c r="B19" s="21"/>
      <c r="C19" s="3" t="s">
        <v>6</v>
      </c>
      <c r="D19" s="34">
        <v>6.6</v>
      </c>
      <c r="I19" s="22"/>
    </row>
    <row r="20" spans="2:9" x14ac:dyDescent="0.2">
      <c r="B20" s="21"/>
      <c r="I20" s="22"/>
    </row>
    <row r="21" spans="2:9" ht="20" x14ac:dyDescent="0.2">
      <c r="B21" s="21"/>
      <c r="C21" s="2" t="s">
        <v>25</v>
      </c>
      <c r="I21" s="22"/>
    </row>
    <row r="22" spans="2:9" x14ac:dyDescent="0.2">
      <c r="B22" s="21"/>
      <c r="C22" s="3" t="s">
        <v>3</v>
      </c>
      <c r="D22" s="7" t="s">
        <v>16</v>
      </c>
      <c r="I22" s="22"/>
    </row>
    <row r="23" spans="2:9" x14ac:dyDescent="0.2">
      <c r="B23" s="21"/>
      <c r="C23" s="3" t="s">
        <v>7</v>
      </c>
      <c r="D23" s="6">
        <v>15</v>
      </c>
      <c r="I23" s="22"/>
    </row>
    <row r="24" spans="2:9" x14ac:dyDescent="0.2">
      <c r="B24" s="21"/>
      <c r="C24" s="3" t="s">
        <v>33</v>
      </c>
      <c r="D24" s="36">
        <v>3000</v>
      </c>
      <c r="I24" s="22"/>
    </row>
    <row r="25" spans="2:9" x14ac:dyDescent="0.2">
      <c r="B25" s="21"/>
      <c r="C25" s="3" t="s">
        <v>40</v>
      </c>
      <c r="D25" s="41">
        <v>52</v>
      </c>
      <c r="I25" s="22"/>
    </row>
    <row r="26" spans="2:9" x14ac:dyDescent="0.2">
      <c r="B26" s="21"/>
      <c r="C26" s="3" t="s">
        <v>8</v>
      </c>
      <c r="D26" s="13">
        <v>160000</v>
      </c>
      <c r="I26" s="22"/>
    </row>
    <row r="27" spans="2:9" ht="28" x14ac:dyDescent="0.3">
      <c r="B27" s="21"/>
      <c r="C27" s="3"/>
      <c r="F27" s="33" t="s">
        <v>41</v>
      </c>
      <c r="I27" s="22"/>
    </row>
    <row r="28" spans="2:9" x14ac:dyDescent="0.2">
      <c r="B28" s="21"/>
      <c r="C28" s="3"/>
      <c r="G28" s="48" t="s">
        <v>27</v>
      </c>
      <c r="H28" s="48" t="s">
        <v>16</v>
      </c>
      <c r="I28" s="22"/>
    </row>
    <row r="29" spans="2:9" x14ac:dyDescent="0.2">
      <c r="B29" s="21"/>
      <c r="C29" s="3"/>
      <c r="F29" s="1" t="s">
        <v>43</v>
      </c>
      <c r="G29" s="51">
        <f>G41/1000</f>
        <v>3</v>
      </c>
      <c r="H29" s="51">
        <f>G48/1000</f>
        <v>3</v>
      </c>
      <c r="I29" s="22"/>
    </row>
    <row r="30" spans="2:9" x14ac:dyDescent="0.2">
      <c r="B30" s="21"/>
      <c r="C30" s="3"/>
      <c r="F30" s="1" t="s">
        <v>44</v>
      </c>
      <c r="G30" s="46"/>
      <c r="H30" s="51">
        <f>G49/1000</f>
        <v>5.72</v>
      </c>
      <c r="I30" s="22"/>
    </row>
    <row r="31" spans="2:9" x14ac:dyDescent="0.2">
      <c r="B31" s="21"/>
      <c r="C31" s="3"/>
      <c r="F31" s="1" t="s">
        <v>46</v>
      </c>
      <c r="G31" s="46"/>
      <c r="H31" s="51">
        <f>(IF(D13=0,G50,IF(D13=1,H50*1,IF(D13=2,H50*2,IF(D13=3,H50*3,IF(D13=4,H50*4,IF(D13=5,H50*5,IF(D13=6,H50*6,IF(D13=7,H50*7,IF(D13=8,H50*8,IF(D13=9,H50*9,"")))))))))))/1000</f>
        <v>5.2542</v>
      </c>
      <c r="I31" s="22"/>
    </row>
    <row r="32" spans="2:9" x14ac:dyDescent="0.2">
      <c r="B32" s="21"/>
      <c r="C32" s="3"/>
      <c r="F32" s="1" t="s">
        <v>47</v>
      </c>
      <c r="G32" s="51">
        <f>(IF(D13=0,G42,IF(D13=1,H42*1,IF(D13=2,H42*2,IF(D13=3,H42*3,IF(D13=4,H42*4,IF(D13=5,H42*5,IF(D13=6,H42*6,IF(D13=7,H42*7,IF(D13=8,H42*8,IF(D13=9,H42*9,"")))))))))))/1000</f>
        <v>17.247119999999999</v>
      </c>
      <c r="H32" s="51"/>
      <c r="I32" s="22"/>
    </row>
    <row r="33" spans="2:16" ht="17" thickBot="1" x14ac:dyDescent="0.25">
      <c r="B33" s="21"/>
      <c r="C33" s="3"/>
      <c r="F33" s="47" t="s">
        <v>35</v>
      </c>
      <c r="G33" s="52">
        <f>SUM(G29:G32)</f>
        <v>20.247119999999999</v>
      </c>
      <c r="H33" s="52">
        <f>SUM(H29:H32)</f>
        <v>13.9742</v>
      </c>
      <c r="I33" s="22"/>
    </row>
    <row r="34" spans="2:16" ht="17" thickTop="1" x14ac:dyDescent="0.2">
      <c r="B34" s="21"/>
      <c r="C34" s="30" t="s">
        <v>20</v>
      </c>
      <c r="I34" s="22"/>
    </row>
    <row r="35" spans="2:16" ht="18" x14ac:dyDescent="0.2">
      <c r="B35" s="21"/>
      <c r="C35" s="31" t="s">
        <v>21</v>
      </c>
      <c r="F35" s="49"/>
      <c r="G35" s="38" t="s">
        <v>42</v>
      </c>
      <c r="H35" s="50">
        <f>IF(G44&gt;G52,G40,IF(H44&gt;H52,H40,IF(I44&gt;I52,I40,IF(J44&gt;J52,J40,IF(K44&gt;K52,K40,IF(L44&gt;L52,L40,IF(M44&gt;M52,M40,IF(N44&gt;N52,N40,IF(O44&gt;O52,O40,IF(P44&gt;P52,P40,"more than 9"))))))))))</f>
        <v>4</v>
      </c>
      <c r="I35" s="22"/>
    </row>
    <row r="36" spans="2:16" ht="17" thickBot="1" x14ac:dyDescent="0.25">
      <c r="B36" s="23"/>
      <c r="C36" s="53"/>
      <c r="D36" s="24"/>
      <c r="E36" s="24"/>
      <c r="F36" s="24"/>
      <c r="G36" s="24"/>
      <c r="H36" s="24"/>
      <c r="I36" s="25"/>
    </row>
    <row r="37" spans="2:16" ht="28" x14ac:dyDescent="0.3">
      <c r="C37" s="3"/>
      <c r="F37" s="33"/>
    </row>
    <row r="38" spans="2:16" ht="28" x14ac:dyDescent="0.3">
      <c r="C38" s="3"/>
      <c r="F38" s="33" t="s">
        <v>15</v>
      </c>
    </row>
    <row r="39" spans="2:16" ht="18" x14ac:dyDescent="0.2">
      <c r="F39" s="63" t="str">
        <f>D17</f>
        <v>Renault Clio</v>
      </c>
      <c r="G39" s="40">
        <f>IF(D13=0,G44,IF(D13=1,H44,IF(D13=2,I44,IF(D13=3,J44,IF(D13=4,K44,IF(D13=5,L44,IF(D13=6,M44,IF(D13=7,N44,IF(D13=8,O44,IF(D13=9,P44,""))))))))))</f>
        <v>20247.119999999995</v>
      </c>
      <c r="H39" s="44" t="s">
        <v>39</v>
      </c>
      <c r="I39" s="43">
        <f>G39/1000</f>
        <v>20.247119999999995</v>
      </c>
      <c r="J39" s="42"/>
    </row>
    <row r="40" spans="2:16" x14ac:dyDescent="0.2">
      <c r="F40" s="60" t="s">
        <v>12</v>
      </c>
      <c r="G40" s="61">
        <v>0</v>
      </c>
      <c r="H40" s="61">
        <v>1</v>
      </c>
      <c r="I40" s="61">
        <v>2</v>
      </c>
      <c r="J40" s="61">
        <v>3</v>
      </c>
      <c r="K40" s="61">
        <v>4</v>
      </c>
      <c r="L40" s="61">
        <v>5</v>
      </c>
      <c r="M40" s="61">
        <v>6</v>
      </c>
      <c r="N40" s="61">
        <v>7</v>
      </c>
      <c r="O40" s="61">
        <v>8</v>
      </c>
      <c r="P40" s="62">
        <v>9</v>
      </c>
    </row>
    <row r="41" spans="2:16" x14ac:dyDescent="0.2">
      <c r="F41" s="42" t="s">
        <v>37</v>
      </c>
      <c r="G41" s="40">
        <f>D18</f>
        <v>3000</v>
      </c>
      <c r="H41" s="40"/>
      <c r="I41" s="40"/>
      <c r="J41" s="40"/>
      <c r="K41" s="40"/>
      <c r="L41" s="40"/>
      <c r="M41" s="40"/>
      <c r="N41" s="40"/>
      <c r="O41" s="40"/>
      <c r="P41" s="40"/>
    </row>
    <row r="42" spans="2:16" ht="17" thickBot="1" x14ac:dyDescent="0.25">
      <c r="F42" s="64" t="s">
        <v>38</v>
      </c>
      <c r="G42" s="65"/>
      <c r="H42" s="65">
        <f t="shared" ref="H42:P42" si="0">($D$12/100)*$D$19*$D$7</f>
        <v>2155.89</v>
      </c>
      <c r="I42" s="65">
        <f t="shared" si="0"/>
        <v>2155.89</v>
      </c>
      <c r="J42" s="65">
        <f t="shared" si="0"/>
        <v>2155.89</v>
      </c>
      <c r="K42" s="65">
        <f t="shared" si="0"/>
        <v>2155.89</v>
      </c>
      <c r="L42" s="65">
        <f t="shared" si="0"/>
        <v>2155.89</v>
      </c>
      <c r="M42" s="65">
        <f t="shared" si="0"/>
        <v>2155.89</v>
      </c>
      <c r="N42" s="65">
        <f t="shared" si="0"/>
        <v>2155.89</v>
      </c>
      <c r="O42" s="65">
        <f t="shared" si="0"/>
        <v>2155.89</v>
      </c>
      <c r="P42" s="65">
        <f t="shared" si="0"/>
        <v>2155.89</v>
      </c>
    </row>
    <row r="43" spans="2:16" ht="17" thickTop="1" x14ac:dyDescent="0.2">
      <c r="F43" s="42" t="s">
        <v>64</v>
      </c>
      <c r="G43" s="40">
        <f>SUM(G41:G42)</f>
        <v>3000</v>
      </c>
      <c r="H43" s="40">
        <f>SUM(H41:H42)</f>
        <v>2155.89</v>
      </c>
      <c r="I43" s="40">
        <f t="shared" ref="I43:P43" si="1">SUM(I41:I42)</f>
        <v>2155.89</v>
      </c>
      <c r="J43" s="40">
        <f t="shared" si="1"/>
        <v>2155.89</v>
      </c>
      <c r="K43" s="40">
        <f t="shared" si="1"/>
        <v>2155.89</v>
      </c>
      <c r="L43" s="40">
        <f t="shared" si="1"/>
        <v>2155.89</v>
      </c>
      <c r="M43" s="40">
        <f t="shared" si="1"/>
        <v>2155.89</v>
      </c>
      <c r="N43" s="40">
        <f t="shared" si="1"/>
        <v>2155.89</v>
      </c>
      <c r="O43" s="40">
        <f t="shared" si="1"/>
        <v>2155.89</v>
      </c>
      <c r="P43" s="40">
        <f t="shared" si="1"/>
        <v>2155.89</v>
      </c>
    </row>
    <row r="44" spans="2:16" x14ac:dyDescent="0.2">
      <c r="F44" s="42" t="s">
        <v>65</v>
      </c>
      <c r="G44" s="40">
        <f>G43</f>
        <v>3000</v>
      </c>
      <c r="H44" s="40">
        <f>SUM($G$43:H43)</f>
        <v>5155.8899999999994</v>
      </c>
      <c r="I44" s="40">
        <f>SUM($G$43:I43)</f>
        <v>7311.7799999999988</v>
      </c>
      <c r="J44" s="40">
        <f>SUM($G$43:J43)</f>
        <v>9467.6699999999983</v>
      </c>
      <c r="K44" s="40">
        <f>SUM($G$43:K43)</f>
        <v>11623.559999999998</v>
      </c>
      <c r="L44" s="40">
        <f>SUM($G$43:L43)</f>
        <v>13779.449999999997</v>
      </c>
      <c r="M44" s="40">
        <f>SUM($G$43:M43)</f>
        <v>15935.339999999997</v>
      </c>
      <c r="N44" s="40">
        <f>SUM($G$43:N43)</f>
        <v>18091.229999999996</v>
      </c>
      <c r="O44" s="40">
        <f>SUM($G$43:O43)</f>
        <v>20247.119999999995</v>
      </c>
      <c r="P44" s="40">
        <f>SUM($G$43:P43)</f>
        <v>22403.009999999995</v>
      </c>
    </row>
    <row r="45" spans="2:16" x14ac:dyDescent="0.2">
      <c r="G45" s="42"/>
      <c r="H45" s="42"/>
      <c r="I45" s="42"/>
      <c r="J45" s="42"/>
    </row>
    <row r="46" spans="2:16" ht="18" x14ac:dyDescent="0.2">
      <c r="F46" s="63" t="str">
        <f>D22</f>
        <v>Renault Zoe</v>
      </c>
      <c r="G46" s="40">
        <f>IF(D13=0,G52,IF(D13=1,H52,IF(D13=2,I52,IF(D13=3,J52,IF(D13=4,K52,IF(D13=5,L52,IF(D13=6,M52,IF(D13=7,N52,IF(D13=8,O52,IF(D13=9,P52,""))))))))))</f>
        <v>13974.199999999997</v>
      </c>
      <c r="H46" s="44" t="s">
        <v>39</v>
      </c>
      <c r="I46" s="43">
        <f>G46/1000</f>
        <v>13.974199999999998</v>
      </c>
      <c r="J46" s="45"/>
      <c r="K46" s="39"/>
    </row>
    <row r="47" spans="2:16" x14ac:dyDescent="0.2">
      <c r="F47" s="60" t="s">
        <v>12</v>
      </c>
      <c r="G47" s="61">
        <v>0</v>
      </c>
      <c r="H47" s="61">
        <v>1</v>
      </c>
      <c r="I47" s="61">
        <v>2</v>
      </c>
      <c r="J47" s="61">
        <v>3</v>
      </c>
      <c r="K47" s="61">
        <v>4</v>
      </c>
      <c r="L47" s="61">
        <v>5</v>
      </c>
      <c r="M47" s="61">
        <v>6</v>
      </c>
      <c r="N47" s="61">
        <v>7</v>
      </c>
      <c r="O47" s="61">
        <v>8</v>
      </c>
      <c r="P47" s="62">
        <v>9</v>
      </c>
    </row>
    <row r="48" spans="2:16" x14ac:dyDescent="0.2">
      <c r="F48" s="42" t="s">
        <v>37</v>
      </c>
      <c r="G48" s="40">
        <f>D24</f>
        <v>3000</v>
      </c>
      <c r="H48" s="40"/>
      <c r="I48" s="40"/>
      <c r="J48" s="40"/>
      <c r="K48" s="40"/>
      <c r="L48" s="40"/>
      <c r="M48" s="40"/>
      <c r="N48" s="40"/>
      <c r="O48" s="40"/>
      <c r="P48" s="40"/>
    </row>
    <row r="49" spans="6:16" x14ac:dyDescent="0.2">
      <c r="F49" s="42" t="s">
        <v>36</v>
      </c>
      <c r="G49" s="40">
        <f>D25*D8</f>
        <v>5720</v>
      </c>
      <c r="H49" s="40"/>
      <c r="I49" s="40"/>
      <c r="J49" s="40"/>
      <c r="K49" s="40"/>
      <c r="L49" s="40"/>
      <c r="M49" s="40"/>
      <c r="N49" s="40"/>
      <c r="O49" s="40"/>
      <c r="P49" s="40"/>
    </row>
    <row r="50" spans="6:16" ht="17" thickBot="1" x14ac:dyDescent="0.25">
      <c r="F50" s="64" t="s">
        <v>38</v>
      </c>
      <c r="G50" s="65"/>
      <c r="H50" s="65">
        <f t="shared" ref="H50:P50" si="2">($D$12/100)*$D$23*$D$9</f>
        <v>656.77499999999998</v>
      </c>
      <c r="I50" s="65">
        <f t="shared" si="2"/>
        <v>656.77499999999998</v>
      </c>
      <c r="J50" s="65">
        <f t="shared" si="2"/>
        <v>656.77499999999998</v>
      </c>
      <c r="K50" s="65">
        <f t="shared" si="2"/>
        <v>656.77499999999998</v>
      </c>
      <c r="L50" s="65">
        <f t="shared" si="2"/>
        <v>656.77499999999998</v>
      </c>
      <c r="M50" s="65">
        <f t="shared" si="2"/>
        <v>656.77499999999998</v>
      </c>
      <c r="N50" s="65">
        <f t="shared" si="2"/>
        <v>656.77499999999998</v>
      </c>
      <c r="O50" s="65">
        <f t="shared" si="2"/>
        <v>656.77499999999998</v>
      </c>
      <c r="P50" s="65">
        <f t="shared" si="2"/>
        <v>656.77499999999998</v>
      </c>
    </row>
    <row r="51" spans="6:16" ht="17" thickTop="1" x14ac:dyDescent="0.2">
      <c r="F51" s="42" t="s">
        <v>64</v>
      </c>
      <c r="G51" s="40">
        <f>SUM(G48:G50)</f>
        <v>8720</v>
      </c>
      <c r="H51" s="40">
        <f>SUM(H48:H50)</f>
        <v>656.77499999999998</v>
      </c>
      <c r="I51" s="40">
        <f t="shared" ref="I51" si="3">SUM(I48:I50)</f>
        <v>656.77499999999998</v>
      </c>
      <c r="J51" s="40">
        <f t="shared" ref="J51" si="4">SUM(J48:J50)</f>
        <v>656.77499999999998</v>
      </c>
      <c r="K51" s="40">
        <f t="shared" ref="K51" si="5">SUM(K48:K50)</f>
        <v>656.77499999999998</v>
      </c>
      <c r="L51" s="40">
        <f t="shared" ref="L51" si="6">SUM(L48:L50)</f>
        <v>656.77499999999998</v>
      </c>
      <c r="M51" s="40">
        <f t="shared" ref="M51" si="7">SUM(M48:M50)</f>
        <v>656.77499999999998</v>
      </c>
      <c r="N51" s="40">
        <f t="shared" ref="N51" si="8">SUM(N48:N50)</f>
        <v>656.77499999999998</v>
      </c>
      <c r="O51" s="40">
        <f t="shared" ref="O51" si="9">SUM(O48:O50)</f>
        <v>656.77499999999998</v>
      </c>
      <c r="P51" s="40">
        <f t="shared" ref="P51" si="10">SUM(P48:P50)</f>
        <v>656.77499999999998</v>
      </c>
    </row>
    <row r="52" spans="6:16" x14ac:dyDescent="0.2">
      <c r="F52" s="42" t="s">
        <v>65</v>
      </c>
      <c r="G52" s="40">
        <f>SUM(G51)</f>
        <v>8720</v>
      </c>
      <c r="H52" s="40">
        <f>SUM($G$51:H51)</f>
        <v>9376.7749999999996</v>
      </c>
      <c r="I52" s="40">
        <f>SUM($G$51:I51)</f>
        <v>10033.549999999999</v>
      </c>
      <c r="J52" s="40">
        <f>SUM($G$51:J51)</f>
        <v>10690.324999999999</v>
      </c>
      <c r="K52" s="40">
        <f>SUM($G$51:K51)</f>
        <v>11347.099999999999</v>
      </c>
      <c r="L52" s="40">
        <f>SUM($G$51:L51)</f>
        <v>12003.874999999998</v>
      </c>
      <c r="M52" s="40">
        <f>SUM($G$51:M51)</f>
        <v>12660.649999999998</v>
      </c>
      <c r="N52" s="40">
        <f>SUM($G$51:N51)</f>
        <v>13317.424999999997</v>
      </c>
      <c r="O52" s="40">
        <f>SUM($G$51:O51)</f>
        <v>13974.199999999997</v>
      </c>
      <c r="P52" s="40">
        <f>SUM($G$51:P51)</f>
        <v>14630.974999999997</v>
      </c>
    </row>
    <row r="53" spans="6:16" x14ac:dyDescent="0.2"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6:16" x14ac:dyDescent="0.2"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6:16" x14ac:dyDescent="0.2">
      <c r="F55" s="8"/>
      <c r="G55" s="15"/>
      <c r="H55" s="15"/>
      <c r="I55" s="15"/>
      <c r="J55" s="15"/>
      <c r="K55" s="15"/>
      <c r="L55" s="15"/>
      <c r="M55" s="15"/>
      <c r="N55" s="15"/>
      <c r="O55" s="15"/>
      <c r="P55" s="15"/>
    </row>
  </sheetData>
  <hyperlinks>
    <hyperlink ref="C35" r:id="rId1" display="www.evtalk.co" xr:uid="{EF646F48-E3DE-D54E-8500-4B8146EF1D2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TCO</vt:lpstr>
      <vt:lpstr>Lifecycle CO2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2020-03-22T08:40:24Z</dcterms:created>
  <dcterms:modified xsi:type="dcterms:W3CDTF">2020-03-27T10:48:58Z</dcterms:modified>
</cp:coreProperties>
</file>